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15195" windowHeight="7425"/>
  </bookViews>
  <sheets>
    <sheet name="Table 1 State Summary " sheetId="1" r:id="rId1"/>
    <sheet name="Table 2 Distributions &amp; Adjust" sheetId="2" r:id="rId2"/>
    <sheet name="Table 2A-1 EFTs- Monthly" sheetId="3" r:id="rId3"/>
    <sheet name="Table 2A-2 EFTs- Annual" sheetId="4" r:id="rId4"/>
    <sheet name="Table 3 Levels 1&amp;2" sheetId="5" r:id="rId5"/>
    <sheet name="Table 4 Level 3" sheetId="6" r:id="rId6"/>
    <sheet name="Table 4A Stipends" sheetId="7" r:id="rId7"/>
    <sheet name="Table 5A1 Labs NOCCA LSMSA" sheetId="8" r:id="rId8"/>
    <sheet name="Table 5B1_RSD_Orleans" sheetId="9" r:id="rId9"/>
    <sheet name="Table 5B2_RSD_LA" sheetId="10" r:id="rId10"/>
    <sheet name="Table 5C1 - Type 2s" sheetId="11" r:id="rId11"/>
    <sheet name="Table 5C2 - LA Virtual Admy " sheetId="12" r:id="rId12"/>
    <sheet name="Table 5C3 - LA Connections  " sheetId="13" r:id="rId13"/>
    <sheet name="Table 5D - Legacy Type 2" sheetId="14" r:id="rId14"/>
    <sheet name="Table 5E_OJJ" sheetId="15" r:id="rId15"/>
    <sheet name="Table 6 (Local Deduct Calc.)" sheetId="16" r:id="rId16"/>
    <sheet name="Table 7 Local Revenue" sheetId="17" r:id="rId17"/>
    <sheet name="Midyear adjustment summary" sheetId="18" r:id="rId18"/>
    <sheet name="October midyear adj" sheetId="19" r:id="rId19"/>
    <sheet name="Oct midyear adj_LA virtual" sheetId="20" r:id="rId20"/>
    <sheet name="Oct midyear adj_Connections" sheetId="21" r:id="rId21"/>
    <sheet name="Oct midyear adj_OJJ" sheetId="22" r:id="rId22"/>
    <sheet name="February midyear adj " sheetId="23" r:id="rId23"/>
    <sheet name="Feb midyear adj_LA virtual " sheetId="24" r:id="rId24"/>
    <sheet name="Feb midyear adj_Connections" sheetId="25" r:id="rId25"/>
    <sheet name="Feb midyear adj_OJJ" sheetId="26"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1_2004_2005_AFR_4_Ad_Valorem_Taxes" localSheetId="24">#REF!</definedName>
    <definedName name="_1_2004_2005_AFR_4_Ad_Valorem_Taxes" localSheetId="23">#REF!</definedName>
    <definedName name="_1_2004_2005_AFR_4_Ad_Valorem_Taxes" localSheetId="25">#REF!</definedName>
    <definedName name="_1_2004_2005_AFR_4_Ad_Valorem_Taxes" localSheetId="22">#REF!</definedName>
    <definedName name="_1_2004_2005_AFR_4_Ad_Valorem_Taxes" localSheetId="0">#REF!</definedName>
    <definedName name="_1_2004_2005_AFR_4_Ad_Valorem_Taxes" localSheetId="3">#REF!</definedName>
    <definedName name="_1_2004_2005_AFR_4_Ad_Valorem_Taxes">#REF!</definedName>
    <definedName name="_2004_2005_AFR_4_Ad_Valorem_Taxes" localSheetId="24">#REF!</definedName>
    <definedName name="_2004_2005_AFR_4_Ad_Valorem_Taxes" localSheetId="23">#REF!</definedName>
    <definedName name="_2004_2005_AFR_4_Ad_Valorem_Taxes" localSheetId="25">#REF!</definedName>
    <definedName name="_2004_2005_AFR_4_Ad_Valorem_Taxes" localSheetId="22">#REF!</definedName>
    <definedName name="_2004_2005_AFR_4_Ad_Valorem_Taxes" localSheetId="3">#REF!</definedName>
    <definedName name="_2004_2005_AFR_4_Ad_Valorem_Taxes">#REF!</definedName>
    <definedName name="Import_Elem_Secondary_ByLEA" localSheetId="24">#REF!</definedName>
    <definedName name="Import_Elem_Secondary_ByLEA" localSheetId="23">#REF!</definedName>
    <definedName name="Import_Elem_Secondary_ByLEA" localSheetId="25">#REF!</definedName>
    <definedName name="Import_Elem_Secondary_ByLEA" localSheetId="22">#REF!</definedName>
    <definedName name="Import_Elem_Secondary_ByLEA" localSheetId="0">#REF!</definedName>
    <definedName name="Import_Elem_Secondary_ByLEA" localSheetId="3">#REF!</definedName>
    <definedName name="Import_Elem_Secondary_ByLEA" localSheetId="6">#REF!</definedName>
    <definedName name="Import_Elem_Secondary_ByLEA">#REF!</definedName>
    <definedName name="Import_K_12_ByLEA" localSheetId="24">#REF!</definedName>
    <definedName name="Import_K_12_ByLEA" localSheetId="23">#REF!</definedName>
    <definedName name="Import_K_12_ByLEA" localSheetId="25">#REF!</definedName>
    <definedName name="Import_K_12_ByLEA" localSheetId="22">#REF!</definedName>
    <definedName name="Import_K_12_ByLEA" localSheetId="0">#REF!</definedName>
    <definedName name="Import_K_12_ByLEA" localSheetId="3">#REF!</definedName>
    <definedName name="Import_K_12_ByLEA" localSheetId="6">#REF!</definedName>
    <definedName name="Import_K_12_ByLEA">#REF!</definedName>
    <definedName name="Import_MFP_and_Other_Funded_ByLEA" localSheetId="24">#REF!</definedName>
    <definedName name="Import_MFP_and_Other_Funded_ByLEA" localSheetId="23">#REF!</definedName>
    <definedName name="Import_MFP_and_Other_Funded_ByLEA" localSheetId="25">#REF!</definedName>
    <definedName name="Import_MFP_and_Other_Funded_ByLEA" localSheetId="22">#REF!</definedName>
    <definedName name="Import_MFP_and_Other_Funded_ByLEA" localSheetId="0">#REF!</definedName>
    <definedName name="Import_MFP_and_Other_Funded_ByLEA" localSheetId="3">#REF!</definedName>
    <definedName name="Import_MFP_and_Other_Funded_ByLEA" localSheetId="6">#REF!</definedName>
    <definedName name="Import_MFP_and_Other_Funded_ByLEA">#REF!</definedName>
    <definedName name="Import_Total_Reported_ByLEA" localSheetId="24">#REF!</definedName>
    <definedName name="Import_Total_Reported_ByLEA" localSheetId="23">#REF!</definedName>
    <definedName name="Import_Total_Reported_ByLEA" localSheetId="25">#REF!</definedName>
    <definedName name="Import_Total_Reported_ByLEA" localSheetId="22">#REF!</definedName>
    <definedName name="Import_Total_Reported_ByLEA" localSheetId="0">#REF!</definedName>
    <definedName name="Import_Total_Reported_ByLEA" localSheetId="3">#REF!</definedName>
    <definedName name="Import_Total_Reported_ByLEA" localSheetId="6">#REF!</definedName>
    <definedName name="Import_Total_Reported_ByLEA">#REF!</definedName>
    <definedName name="_xlnm.Print_Area" localSheetId="22">'February midyear adj '!$A$1:$M$211</definedName>
    <definedName name="_xlnm.Print_Area" localSheetId="17">'Midyear adjustment summary'!$A$1:$G$211</definedName>
    <definedName name="_xlnm.Print_Area" localSheetId="18">'October midyear adj'!$A$1:$M$207</definedName>
    <definedName name="_xlnm.Print_Area" localSheetId="0">'Table 1 State Summary '!$A$1:$H$98</definedName>
    <definedName name="_xlnm.Print_Area" localSheetId="1">'Table 2 Distributions &amp; Adjust'!$A$1:$U$77</definedName>
    <definedName name="_xlnm.Print_Area" localSheetId="2">'Table 2A-1 EFTs- Monthly'!$A$1:$AB$75</definedName>
    <definedName name="_xlnm.Print_Area" localSheetId="3">'Table 2A-2 EFTs- Annual'!$A$1:$P$75</definedName>
    <definedName name="_xlnm.Print_Area" localSheetId="4">'Table 3 Levels 1&amp;2'!$A$3:$BA$85</definedName>
    <definedName name="_xlnm.Print_Area" localSheetId="5">'Table 4 Level 3'!$A$2:$R$78</definedName>
    <definedName name="_xlnm.Print_Area" localSheetId="6">'Table 4A Stipends'!$A$1:$G$78</definedName>
    <definedName name="_xlnm.Print_Area" localSheetId="7">'Table 5A1 Labs NOCCA LSMSA'!$A$1:$T$23</definedName>
    <definedName name="_xlnm.Print_Area" localSheetId="8">'Table 5B1_RSD_Orleans'!$A$2:$P$68</definedName>
    <definedName name="_xlnm.Print_Area" localSheetId="9">'Table 5B2_RSD_LA'!$A$3:$AP$45</definedName>
    <definedName name="_xlnm.Print_Area" localSheetId="10">'Table 5C1 - Type 2s'!$A$1:$AM$100</definedName>
    <definedName name="_xlnm.Print_Area" localSheetId="11">'Table 5C2 - LA Virtual Admy '!$A$1:$AL$78</definedName>
    <definedName name="_xlnm.Print_Area" localSheetId="12">'Table 5C3 - LA Connections  '!$A$1:$AL$78</definedName>
    <definedName name="_xlnm.Print_Area" localSheetId="13">'Table 5D - Legacy Type 2'!$A$1:$W$23</definedName>
    <definedName name="_xlnm.Print_Area" localSheetId="14">'Table 5E_OJJ'!$A$2:$V$76</definedName>
    <definedName name="_xlnm.Print_Area" localSheetId="15">'Table 6 (Local Deduct Calc.)'!$A$3:$J$78</definedName>
    <definedName name="_xlnm.Print_Area" localSheetId="16">'Table 7 Local Revenue'!$A$3:$AR$77</definedName>
    <definedName name="_xlnm.Print_Titles" localSheetId="22">'February midyear adj '!$2:$5</definedName>
    <definedName name="_xlnm.Print_Titles" localSheetId="17">'Midyear adjustment summary'!$2:$4</definedName>
    <definedName name="_xlnm.Print_Titles" localSheetId="18">'October midyear adj'!$2:$5</definedName>
    <definedName name="_xlnm.Print_Titles" localSheetId="0">'Table 1 State Summary '!$1:$8</definedName>
    <definedName name="_xlnm.Print_Titles" localSheetId="1">'Table 2 Distributions &amp; Adjust'!$A:$B</definedName>
    <definedName name="_xlnm.Print_Titles" localSheetId="2">'Table 2A-1 EFTs- Monthly'!$A:$B</definedName>
    <definedName name="_xlnm.Print_Titles" localSheetId="3">'Table 2A-2 EFTs- Annual'!$A:$B</definedName>
    <definedName name="_xlnm.Print_Titles" localSheetId="4">'Table 3 Levels 1&amp;2'!$A:$B,'Table 3 Levels 1&amp;2'!$2:$7</definedName>
    <definedName name="_xlnm.Print_Titles" localSheetId="5">'Table 4 Level 3'!$A:$B</definedName>
    <definedName name="_xlnm.Print_Titles" localSheetId="7">'Table 5A1 Labs NOCCA LSMSA'!$1:$1</definedName>
    <definedName name="_xlnm.Print_Titles" localSheetId="8">'Table 5B1_RSD_Orleans'!$B:$B,'Table 5B1_RSD_Orleans'!$2:$5</definedName>
    <definedName name="_xlnm.Print_Titles" localSheetId="9">'Table 5B2_RSD_LA'!$A:$B</definedName>
    <definedName name="_xlnm.Print_Titles" localSheetId="10">'Table 5C1 - Type 2s'!$A:$A,'Table 5C1 - Type 2s'!$1:$1</definedName>
    <definedName name="_xlnm.Print_Titles" localSheetId="11">'Table 5C2 - LA Virtual Admy '!$B:$B</definedName>
    <definedName name="_xlnm.Print_Titles" localSheetId="12">'Table 5C3 - LA Connections  '!$A:$B</definedName>
    <definedName name="_xlnm.Print_Titles" localSheetId="14">'Table 5E_OJJ'!$B:$B,'Table 5E_OJJ'!$2:$5</definedName>
    <definedName name="_xlnm.Print_Titles" localSheetId="15">'Table 6 (Local Deduct Calc.)'!$A:$B,'Table 6 (Local Deduct Calc.)'!$3:$8</definedName>
    <definedName name="_xlnm.Print_Titles" localSheetId="16">'Table 7 Local Revenue'!$A:$B,'Table 7 Local Revenue'!$1:$6</definedName>
  </definedNames>
  <calcPr calcId="125725"/>
  <fileRecoveryPr repairLoad="1"/>
</workbook>
</file>

<file path=xl/calcChain.xml><?xml version="1.0" encoding="utf-8"?>
<calcChain xmlns="http://schemas.openxmlformats.org/spreadsheetml/2006/main">
  <c r="D75" i="26"/>
  <c r="C75"/>
  <c r="F74"/>
  <c r="E74"/>
  <c r="E73"/>
  <c r="F72"/>
  <c r="E72"/>
  <c r="E71"/>
  <c r="F70"/>
  <c r="E70"/>
  <c r="E69"/>
  <c r="F68"/>
  <c r="E68"/>
  <c r="E67"/>
  <c r="F66"/>
  <c r="E66"/>
  <c r="E65"/>
  <c r="F64"/>
  <c r="E64"/>
  <c r="E63"/>
  <c r="F62"/>
  <c r="E62"/>
  <c r="E61"/>
  <c r="F60"/>
  <c r="E60"/>
  <c r="E59"/>
  <c r="F58"/>
  <c r="E58"/>
  <c r="E57"/>
  <c r="F56"/>
  <c r="E56"/>
  <c r="E55"/>
  <c r="F54"/>
  <c r="E54"/>
  <c r="E53"/>
  <c r="F52"/>
  <c r="E52"/>
  <c r="E51"/>
  <c r="F50"/>
  <c r="E50"/>
  <c r="E49"/>
  <c r="F48"/>
  <c r="E48"/>
  <c r="E47"/>
  <c r="F46"/>
  <c r="E46"/>
  <c r="E45"/>
  <c r="F44"/>
  <c r="E44"/>
  <c r="E43"/>
  <c r="F42"/>
  <c r="E42"/>
  <c r="E41"/>
  <c r="F40"/>
  <c r="E40"/>
  <c r="E39"/>
  <c r="F38"/>
  <c r="E38"/>
  <c r="E37"/>
  <c r="F36"/>
  <c r="E36"/>
  <c r="E35"/>
  <c r="F34"/>
  <c r="E34"/>
  <c r="E33"/>
  <c r="F32"/>
  <c r="E32"/>
  <c r="E31"/>
  <c r="F30"/>
  <c r="E30"/>
  <c r="E29"/>
  <c r="F28"/>
  <c r="E28"/>
  <c r="E27"/>
  <c r="F26"/>
  <c r="E26"/>
  <c r="E25"/>
  <c r="F24"/>
  <c r="E24"/>
  <c r="E23"/>
  <c r="F22"/>
  <c r="E22"/>
  <c r="E21"/>
  <c r="F20"/>
  <c r="E20"/>
  <c r="E19"/>
  <c r="F18"/>
  <c r="E18"/>
  <c r="E17"/>
  <c r="F16"/>
  <c r="E16"/>
  <c r="E15"/>
  <c r="F14"/>
  <c r="E14"/>
  <c r="E13"/>
  <c r="F12"/>
  <c r="E12"/>
  <c r="E11"/>
  <c r="F10"/>
  <c r="E10"/>
  <c r="E9"/>
  <c r="F8"/>
  <c r="E8"/>
  <c r="E7"/>
  <c r="F6"/>
  <c r="E6"/>
  <c r="E75" s="1"/>
  <c r="E4"/>
  <c r="F4" s="1"/>
  <c r="G4" s="1"/>
  <c r="H4" s="1"/>
  <c r="I4" s="1"/>
  <c r="J4" s="1"/>
  <c r="K4" s="1"/>
  <c r="D4"/>
  <c r="D74" i="25"/>
  <c r="E74" s="1"/>
  <c r="C74"/>
  <c r="D73"/>
  <c r="E73" s="1"/>
  <c r="C73"/>
  <c r="D72"/>
  <c r="E72" s="1"/>
  <c r="C72"/>
  <c r="D71"/>
  <c r="E71" s="1"/>
  <c r="C71"/>
  <c r="D70"/>
  <c r="E70" s="1"/>
  <c r="C70"/>
  <c r="D69"/>
  <c r="E69" s="1"/>
  <c r="C69"/>
  <c r="D68"/>
  <c r="E68" s="1"/>
  <c r="C68"/>
  <c r="D67"/>
  <c r="E67" s="1"/>
  <c r="C67"/>
  <c r="D66"/>
  <c r="E66" s="1"/>
  <c r="C66"/>
  <c r="D65"/>
  <c r="E65" s="1"/>
  <c r="C65"/>
  <c r="D64"/>
  <c r="E64" s="1"/>
  <c r="C64"/>
  <c r="D63"/>
  <c r="E63" s="1"/>
  <c r="C63"/>
  <c r="D62"/>
  <c r="E62" s="1"/>
  <c r="C62"/>
  <c r="D61"/>
  <c r="E61" s="1"/>
  <c r="C61"/>
  <c r="D60"/>
  <c r="E60" s="1"/>
  <c r="C60"/>
  <c r="D59"/>
  <c r="E59" s="1"/>
  <c r="C59"/>
  <c r="D58"/>
  <c r="E58" s="1"/>
  <c r="C58"/>
  <c r="D57"/>
  <c r="E57" s="1"/>
  <c r="C57"/>
  <c r="D56"/>
  <c r="E56" s="1"/>
  <c r="C56"/>
  <c r="D55"/>
  <c r="E55" s="1"/>
  <c r="C55"/>
  <c r="D54"/>
  <c r="E54" s="1"/>
  <c r="C54"/>
  <c r="D53"/>
  <c r="E53" s="1"/>
  <c r="C53"/>
  <c r="D52"/>
  <c r="E52" s="1"/>
  <c r="C52"/>
  <c r="D51"/>
  <c r="E51" s="1"/>
  <c r="C51"/>
  <c r="D50"/>
  <c r="E50" s="1"/>
  <c r="C50"/>
  <c r="D49"/>
  <c r="E49" s="1"/>
  <c r="C49"/>
  <c r="D48"/>
  <c r="E48" s="1"/>
  <c r="C48"/>
  <c r="D47"/>
  <c r="E47" s="1"/>
  <c r="C47"/>
  <c r="D46"/>
  <c r="E46" s="1"/>
  <c r="C46"/>
  <c r="D45"/>
  <c r="E45" s="1"/>
  <c r="C45"/>
  <c r="D44"/>
  <c r="E44" s="1"/>
  <c r="C44"/>
  <c r="D43"/>
  <c r="E43" s="1"/>
  <c r="C43"/>
  <c r="D42"/>
  <c r="E42" s="1"/>
  <c r="C42"/>
  <c r="D41"/>
  <c r="E41" s="1"/>
  <c r="C41"/>
  <c r="D40"/>
  <c r="E40" s="1"/>
  <c r="C40"/>
  <c r="D39"/>
  <c r="E39" s="1"/>
  <c r="C39"/>
  <c r="D38"/>
  <c r="C38"/>
  <c r="E38" s="1"/>
  <c r="D37"/>
  <c r="E37" s="1"/>
  <c r="C37"/>
  <c r="D36"/>
  <c r="C36"/>
  <c r="E36" s="1"/>
  <c r="D35"/>
  <c r="E35" s="1"/>
  <c r="C35"/>
  <c r="D34"/>
  <c r="C34"/>
  <c r="E34" s="1"/>
  <c r="D33"/>
  <c r="E33" s="1"/>
  <c r="C33"/>
  <c r="D32"/>
  <c r="C32"/>
  <c r="E32" s="1"/>
  <c r="D31"/>
  <c r="E31" s="1"/>
  <c r="C31"/>
  <c r="D30"/>
  <c r="C30"/>
  <c r="E30" s="1"/>
  <c r="D29"/>
  <c r="E29" s="1"/>
  <c r="C29"/>
  <c r="D28"/>
  <c r="E28" s="1"/>
  <c r="C28"/>
  <c r="D27"/>
  <c r="E27" s="1"/>
  <c r="C27"/>
  <c r="D26"/>
  <c r="E26" s="1"/>
  <c r="C26"/>
  <c r="D25"/>
  <c r="E25" s="1"/>
  <c r="C25"/>
  <c r="D24"/>
  <c r="E24" s="1"/>
  <c r="C24"/>
  <c r="D23"/>
  <c r="E23" s="1"/>
  <c r="C23"/>
  <c r="D22"/>
  <c r="E22" s="1"/>
  <c r="C22"/>
  <c r="D21"/>
  <c r="E21" s="1"/>
  <c r="C21"/>
  <c r="D20"/>
  <c r="E20" s="1"/>
  <c r="C20"/>
  <c r="D19"/>
  <c r="E19" s="1"/>
  <c r="C19"/>
  <c r="D18"/>
  <c r="E18" s="1"/>
  <c r="C18"/>
  <c r="D17"/>
  <c r="E17" s="1"/>
  <c r="C17"/>
  <c r="D16"/>
  <c r="C16"/>
  <c r="E16" s="1"/>
  <c r="D15"/>
  <c r="E15" s="1"/>
  <c r="C15"/>
  <c r="D14"/>
  <c r="C14"/>
  <c r="E14" s="1"/>
  <c r="D13"/>
  <c r="E13" s="1"/>
  <c r="C13"/>
  <c r="D12"/>
  <c r="C12"/>
  <c r="E12" s="1"/>
  <c r="D11"/>
  <c r="E11" s="1"/>
  <c r="C11"/>
  <c r="D10"/>
  <c r="C10"/>
  <c r="E10" s="1"/>
  <c r="D9"/>
  <c r="E9" s="1"/>
  <c r="C9"/>
  <c r="D8"/>
  <c r="C8"/>
  <c r="E8" s="1"/>
  <c r="D7"/>
  <c r="E7" s="1"/>
  <c r="C7"/>
  <c r="D6"/>
  <c r="D75" s="1"/>
  <c r="C6"/>
  <c r="C75" s="1"/>
  <c r="D4"/>
  <c r="E4" s="1"/>
  <c r="F4" s="1"/>
  <c r="G4" s="1"/>
  <c r="H4" s="1"/>
  <c r="I4" s="1"/>
  <c r="J4" s="1"/>
  <c r="K4" s="1"/>
  <c r="L4" s="1"/>
  <c r="M4" s="1"/>
  <c r="D74" i="24"/>
  <c r="E74" s="1"/>
  <c r="C74"/>
  <c r="D73"/>
  <c r="E73" s="1"/>
  <c r="C73"/>
  <c r="D72"/>
  <c r="E72" s="1"/>
  <c r="C72"/>
  <c r="D71"/>
  <c r="E71" s="1"/>
  <c r="C71"/>
  <c r="D70"/>
  <c r="E70" s="1"/>
  <c r="C70"/>
  <c r="D69"/>
  <c r="E69" s="1"/>
  <c r="C69"/>
  <c r="D68"/>
  <c r="E68" s="1"/>
  <c r="C68"/>
  <c r="D67"/>
  <c r="E67" s="1"/>
  <c r="C67"/>
  <c r="D66"/>
  <c r="E66" s="1"/>
  <c r="C66"/>
  <c r="D65"/>
  <c r="E65" s="1"/>
  <c r="C65"/>
  <c r="D64"/>
  <c r="E64" s="1"/>
  <c r="C64"/>
  <c r="D63"/>
  <c r="E63" s="1"/>
  <c r="C63"/>
  <c r="D62"/>
  <c r="E62" s="1"/>
  <c r="C62"/>
  <c r="D61"/>
  <c r="E61" s="1"/>
  <c r="C61"/>
  <c r="D60"/>
  <c r="E60" s="1"/>
  <c r="C60"/>
  <c r="D59"/>
  <c r="E59" s="1"/>
  <c r="C59"/>
  <c r="D58"/>
  <c r="E58" s="1"/>
  <c r="C58"/>
  <c r="D57"/>
  <c r="E57" s="1"/>
  <c r="C57"/>
  <c r="D56"/>
  <c r="E56" s="1"/>
  <c r="C56"/>
  <c r="D55"/>
  <c r="E55" s="1"/>
  <c r="C55"/>
  <c r="D54"/>
  <c r="E54" s="1"/>
  <c r="C54"/>
  <c r="D53"/>
  <c r="E53" s="1"/>
  <c r="C53"/>
  <c r="D52"/>
  <c r="E52" s="1"/>
  <c r="C52"/>
  <c r="D51"/>
  <c r="E51" s="1"/>
  <c r="C51"/>
  <c r="D50"/>
  <c r="E50" s="1"/>
  <c r="C50"/>
  <c r="D49"/>
  <c r="E49" s="1"/>
  <c r="C49"/>
  <c r="D48"/>
  <c r="E48" s="1"/>
  <c r="C48"/>
  <c r="D47"/>
  <c r="E47" s="1"/>
  <c r="C47"/>
  <c r="D46"/>
  <c r="E46" s="1"/>
  <c r="C46"/>
  <c r="D45"/>
  <c r="E45" s="1"/>
  <c r="C45"/>
  <c r="D44"/>
  <c r="E44" s="1"/>
  <c r="C44"/>
  <c r="D43"/>
  <c r="E43" s="1"/>
  <c r="C43"/>
  <c r="D42"/>
  <c r="E42" s="1"/>
  <c r="C42"/>
  <c r="D41"/>
  <c r="E41" s="1"/>
  <c r="C41"/>
  <c r="D40"/>
  <c r="E40" s="1"/>
  <c r="C40"/>
  <c r="D39"/>
  <c r="E39" s="1"/>
  <c r="C39"/>
  <c r="D38"/>
  <c r="E38" s="1"/>
  <c r="C38"/>
  <c r="D37"/>
  <c r="E37" s="1"/>
  <c r="C37"/>
  <c r="D36"/>
  <c r="E36" s="1"/>
  <c r="C36"/>
  <c r="D35"/>
  <c r="E35" s="1"/>
  <c r="C35"/>
  <c r="D34"/>
  <c r="E34" s="1"/>
  <c r="C34"/>
  <c r="D33"/>
  <c r="E33" s="1"/>
  <c r="C33"/>
  <c r="D32"/>
  <c r="E32" s="1"/>
  <c r="C32"/>
  <c r="D31"/>
  <c r="E31" s="1"/>
  <c r="C31"/>
  <c r="D30"/>
  <c r="E30" s="1"/>
  <c r="C30"/>
  <c r="D29"/>
  <c r="E29" s="1"/>
  <c r="C29"/>
  <c r="D28"/>
  <c r="E28" s="1"/>
  <c r="C28"/>
  <c r="D27"/>
  <c r="E27" s="1"/>
  <c r="C27"/>
  <c r="D26"/>
  <c r="E26" s="1"/>
  <c r="C26"/>
  <c r="D25"/>
  <c r="E25" s="1"/>
  <c r="C25"/>
  <c r="D24"/>
  <c r="E24" s="1"/>
  <c r="C24"/>
  <c r="D23"/>
  <c r="E23" s="1"/>
  <c r="C23"/>
  <c r="D22"/>
  <c r="E22" s="1"/>
  <c r="C22"/>
  <c r="D21"/>
  <c r="E21" s="1"/>
  <c r="C21"/>
  <c r="D20"/>
  <c r="E20" s="1"/>
  <c r="C20"/>
  <c r="D19"/>
  <c r="E19" s="1"/>
  <c r="C19"/>
  <c r="D18"/>
  <c r="E18" s="1"/>
  <c r="C18"/>
  <c r="D17"/>
  <c r="E17" s="1"/>
  <c r="C17"/>
  <c r="D16"/>
  <c r="E16" s="1"/>
  <c r="C16"/>
  <c r="D15"/>
  <c r="E15" s="1"/>
  <c r="C15"/>
  <c r="D14"/>
  <c r="E14" s="1"/>
  <c r="C14"/>
  <c r="D13"/>
  <c r="E13" s="1"/>
  <c r="C13"/>
  <c r="D12"/>
  <c r="E12" s="1"/>
  <c r="C12"/>
  <c r="D11"/>
  <c r="E11" s="1"/>
  <c r="C11"/>
  <c r="D10"/>
  <c r="E10" s="1"/>
  <c r="C10"/>
  <c r="D9"/>
  <c r="E9" s="1"/>
  <c r="C9"/>
  <c r="D8"/>
  <c r="E8" s="1"/>
  <c r="C8"/>
  <c r="D7"/>
  <c r="E7" s="1"/>
  <c r="C7"/>
  <c r="D6"/>
  <c r="D75" s="1"/>
  <c r="C6"/>
  <c r="C75" s="1"/>
  <c r="D4"/>
  <c r="E4" s="1"/>
  <c r="F4" s="1"/>
  <c r="G4" s="1"/>
  <c r="H4" s="1"/>
  <c r="I4" s="1"/>
  <c r="J4" s="1"/>
  <c r="K4" s="1"/>
  <c r="L4" s="1"/>
  <c r="M4" s="1"/>
  <c r="D218" i="23"/>
  <c r="C218"/>
  <c r="F209"/>
  <c r="E209"/>
  <c r="G209" s="1"/>
  <c r="I206"/>
  <c r="D206"/>
  <c r="D207" s="1"/>
  <c r="C206"/>
  <c r="C207" s="1"/>
  <c r="I203"/>
  <c r="D203"/>
  <c r="D204" s="1"/>
  <c r="C203"/>
  <c r="C204" s="1"/>
  <c r="I200"/>
  <c r="D200"/>
  <c r="C200"/>
  <c r="E200" s="1"/>
  <c r="I199"/>
  <c r="D199"/>
  <c r="E199" s="1"/>
  <c r="C199"/>
  <c r="I198"/>
  <c r="D198"/>
  <c r="C198"/>
  <c r="E198" s="1"/>
  <c r="I197"/>
  <c r="D197"/>
  <c r="E197" s="1"/>
  <c r="C197"/>
  <c r="I196"/>
  <c r="D196"/>
  <c r="C196"/>
  <c r="E196" s="1"/>
  <c r="I195"/>
  <c r="D195"/>
  <c r="D201" s="1"/>
  <c r="C195"/>
  <c r="C201" s="1"/>
  <c r="I192"/>
  <c r="D192"/>
  <c r="C192"/>
  <c r="E192" s="1"/>
  <c r="I191"/>
  <c r="D191"/>
  <c r="E191" s="1"/>
  <c r="C191"/>
  <c r="I190"/>
  <c r="D190"/>
  <c r="C190"/>
  <c r="E190" s="1"/>
  <c r="I189"/>
  <c r="D189"/>
  <c r="E189" s="1"/>
  <c r="C189"/>
  <c r="I188"/>
  <c r="D188"/>
  <c r="C188"/>
  <c r="E188" s="1"/>
  <c r="I187"/>
  <c r="D187"/>
  <c r="E187" s="1"/>
  <c r="C187"/>
  <c r="I186"/>
  <c r="D186"/>
  <c r="C186"/>
  <c r="E186" s="1"/>
  <c r="I185"/>
  <c r="D185"/>
  <c r="E185" s="1"/>
  <c r="C185"/>
  <c r="I184"/>
  <c r="D184"/>
  <c r="C184"/>
  <c r="E184" s="1"/>
  <c r="I183"/>
  <c r="D183"/>
  <c r="E183" s="1"/>
  <c r="C183"/>
  <c r="I182"/>
  <c r="D182"/>
  <c r="C182"/>
  <c r="E182" s="1"/>
  <c r="I181"/>
  <c r="D181"/>
  <c r="E181" s="1"/>
  <c r="C181"/>
  <c r="I180"/>
  <c r="D180"/>
  <c r="C180"/>
  <c r="E180" s="1"/>
  <c r="I179"/>
  <c r="D179"/>
  <c r="E179" s="1"/>
  <c r="C179"/>
  <c r="I178"/>
  <c r="D178"/>
  <c r="C178"/>
  <c r="E178" s="1"/>
  <c r="I177"/>
  <c r="D177"/>
  <c r="E177" s="1"/>
  <c r="C177"/>
  <c r="I176"/>
  <c r="D176"/>
  <c r="C176"/>
  <c r="E176" s="1"/>
  <c r="I175"/>
  <c r="D175"/>
  <c r="E175" s="1"/>
  <c r="C175"/>
  <c r="I174"/>
  <c r="D174"/>
  <c r="C174"/>
  <c r="E174" s="1"/>
  <c r="I173"/>
  <c r="D173"/>
  <c r="E173" s="1"/>
  <c r="C173"/>
  <c r="I172"/>
  <c r="D172"/>
  <c r="E172" s="1"/>
  <c r="C172"/>
  <c r="I171"/>
  <c r="D171"/>
  <c r="E171" s="1"/>
  <c r="C171"/>
  <c r="I170"/>
  <c r="D170"/>
  <c r="E170" s="1"/>
  <c r="C170"/>
  <c r="I169"/>
  <c r="D169"/>
  <c r="E169" s="1"/>
  <c r="C169"/>
  <c r="I168"/>
  <c r="D168"/>
  <c r="E168" s="1"/>
  <c r="C168"/>
  <c r="I167"/>
  <c r="D167"/>
  <c r="E167" s="1"/>
  <c r="C167"/>
  <c r="I166"/>
  <c r="D166"/>
  <c r="E166" s="1"/>
  <c r="C166"/>
  <c r="I165"/>
  <c r="D165"/>
  <c r="E165" s="1"/>
  <c r="C165"/>
  <c r="I164"/>
  <c r="D164"/>
  <c r="E164" s="1"/>
  <c r="C164"/>
  <c r="I163"/>
  <c r="D163"/>
  <c r="E163" s="1"/>
  <c r="C163"/>
  <c r="I162"/>
  <c r="D162"/>
  <c r="E162" s="1"/>
  <c r="C162"/>
  <c r="I161"/>
  <c r="D161"/>
  <c r="E161" s="1"/>
  <c r="C161"/>
  <c r="I160"/>
  <c r="D160"/>
  <c r="E160" s="1"/>
  <c r="C160"/>
  <c r="I159"/>
  <c r="D159"/>
  <c r="E159" s="1"/>
  <c r="C159"/>
  <c r="I158"/>
  <c r="D158"/>
  <c r="E158" s="1"/>
  <c r="C158"/>
  <c r="I157"/>
  <c r="D157"/>
  <c r="E157" s="1"/>
  <c r="C157"/>
  <c r="I156"/>
  <c r="D156"/>
  <c r="E156" s="1"/>
  <c r="C156"/>
  <c r="I155"/>
  <c r="D155"/>
  <c r="E155" s="1"/>
  <c r="C155"/>
  <c r="I154"/>
  <c r="D154"/>
  <c r="E154" s="1"/>
  <c r="C154"/>
  <c r="I153"/>
  <c r="D153"/>
  <c r="E153" s="1"/>
  <c r="C153"/>
  <c r="I152"/>
  <c r="D152"/>
  <c r="E152" s="1"/>
  <c r="C152"/>
  <c r="I151"/>
  <c r="D151"/>
  <c r="E151" s="1"/>
  <c r="C151"/>
  <c r="I150"/>
  <c r="D150"/>
  <c r="E150" s="1"/>
  <c r="C150"/>
  <c r="I149"/>
  <c r="D149"/>
  <c r="E149" s="1"/>
  <c r="C149"/>
  <c r="I148"/>
  <c r="D148"/>
  <c r="E148" s="1"/>
  <c r="C148"/>
  <c r="I147"/>
  <c r="D147"/>
  <c r="E147" s="1"/>
  <c r="C147"/>
  <c r="I146"/>
  <c r="D146"/>
  <c r="E146" s="1"/>
  <c r="C146"/>
  <c r="I145"/>
  <c r="D145"/>
  <c r="E145" s="1"/>
  <c r="C145"/>
  <c r="I144"/>
  <c r="D144"/>
  <c r="E144" s="1"/>
  <c r="C144"/>
  <c r="I143"/>
  <c r="D143"/>
  <c r="D193" s="1"/>
  <c r="C143"/>
  <c r="C193" s="1"/>
  <c r="I140"/>
  <c r="D140"/>
  <c r="E140" s="1"/>
  <c r="C140"/>
  <c r="I139"/>
  <c r="D139"/>
  <c r="E139" s="1"/>
  <c r="C139"/>
  <c r="I138"/>
  <c r="D138"/>
  <c r="E138" s="1"/>
  <c r="C138"/>
  <c r="I137"/>
  <c r="D137"/>
  <c r="E137" s="1"/>
  <c r="C137"/>
  <c r="I136"/>
  <c r="D136"/>
  <c r="D141" s="1"/>
  <c r="C136"/>
  <c r="C141" s="1"/>
  <c r="D133"/>
  <c r="D134" s="1"/>
  <c r="C133"/>
  <c r="C134" s="1"/>
  <c r="D130"/>
  <c r="E130" s="1"/>
  <c r="C130"/>
  <c r="D129"/>
  <c r="D131" s="1"/>
  <c r="C129"/>
  <c r="C131" s="1"/>
  <c r="D126"/>
  <c r="E126" s="1"/>
  <c r="D125"/>
  <c r="E125" s="1"/>
  <c r="D124"/>
  <c r="E124" s="1"/>
  <c r="D123"/>
  <c r="E123" s="1"/>
  <c r="C123"/>
  <c r="D122"/>
  <c r="D127" s="1"/>
  <c r="C122"/>
  <c r="C127" s="1"/>
  <c r="D119"/>
  <c r="E119" s="1"/>
  <c r="C119"/>
  <c r="D118"/>
  <c r="E118" s="1"/>
  <c r="C118"/>
  <c r="D117"/>
  <c r="E117" s="1"/>
  <c r="C117"/>
  <c r="D116"/>
  <c r="E116" s="1"/>
  <c r="C116"/>
  <c r="D115"/>
  <c r="E115" s="1"/>
  <c r="C115"/>
  <c r="D114"/>
  <c r="D120" s="1"/>
  <c r="C114"/>
  <c r="C120" s="1"/>
  <c r="D111"/>
  <c r="E111" s="1"/>
  <c r="C111"/>
  <c r="D110"/>
  <c r="E110" s="1"/>
  <c r="C110"/>
  <c r="D109"/>
  <c r="E109" s="1"/>
  <c r="C109"/>
  <c r="D108"/>
  <c r="D112" s="1"/>
  <c r="C108"/>
  <c r="C112" s="1"/>
  <c r="D105"/>
  <c r="E105" s="1"/>
  <c r="D104"/>
  <c r="E104" s="1"/>
  <c r="C104"/>
  <c r="D103"/>
  <c r="E103" s="1"/>
  <c r="C103"/>
  <c r="D102"/>
  <c r="E102" s="1"/>
  <c r="D101"/>
  <c r="D106" s="1"/>
  <c r="C101"/>
  <c r="C106" s="1"/>
  <c r="D98"/>
  <c r="D97"/>
  <c r="D99" s="1"/>
  <c r="I94"/>
  <c r="D94"/>
  <c r="E94" s="1"/>
  <c r="C94"/>
  <c r="I93"/>
  <c r="D93"/>
  <c r="E93" s="1"/>
  <c r="C93"/>
  <c r="I92"/>
  <c r="D92"/>
  <c r="E92" s="1"/>
  <c r="C92"/>
  <c r="I91"/>
  <c r="D91"/>
  <c r="E91" s="1"/>
  <c r="C91"/>
  <c r="I90"/>
  <c r="D90"/>
  <c r="E90" s="1"/>
  <c r="C90"/>
  <c r="I89"/>
  <c r="D89"/>
  <c r="E89" s="1"/>
  <c r="C89"/>
  <c r="I88"/>
  <c r="D88"/>
  <c r="E88" s="1"/>
  <c r="C88"/>
  <c r="I87"/>
  <c r="D87"/>
  <c r="E87" s="1"/>
  <c r="C87"/>
  <c r="C95" s="1"/>
  <c r="D84"/>
  <c r="D85" s="1"/>
  <c r="C84"/>
  <c r="C85" s="1"/>
  <c r="D81"/>
  <c r="D82" s="1"/>
  <c r="C81"/>
  <c r="C82" s="1"/>
  <c r="D78"/>
  <c r="E78" s="1"/>
  <c r="C78"/>
  <c r="D77"/>
  <c r="E77" s="1"/>
  <c r="C77"/>
  <c r="C79" s="1"/>
  <c r="C217" s="1"/>
  <c r="D74"/>
  <c r="E74" s="1"/>
  <c r="C74"/>
  <c r="D73"/>
  <c r="E73" s="1"/>
  <c r="C73"/>
  <c r="D72"/>
  <c r="E72" s="1"/>
  <c r="C72"/>
  <c r="D71"/>
  <c r="E71" s="1"/>
  <c r="C71"/>
  <c r="D70"/>
  <c r="E70" s="1"/>
  <c r="C70"/>
  <c r="D69"/>
  <c r="E69" s="1"/>
  <c r="C69"/>
  <c r="D68"/>
  <c r="E68" s="1"/>
  <c r="C68"/>
  <c r="D67"/>
  <c r="E67" s="1"/>
  <c r="C67"/>
  <c r="D66"/>
  <c r="E66" s="1"/>
  <c r="C66"/>
  <c r="D65"/>
  <c r="E65" s="1"/>
  <c r="C65"/>
  <c r="D64"/>
  <c r="E64" s="1"/>
  <c r="C64"/>
  <c r="D63"/>
  <c r="E63" s="1"/>
  <c r="C63"/>
  <c r="D62"/>
  <c r="E62" s="1"/>
  <c r="C62"/>
  <c r="D61"/>
  <c r="E61" s="1"/>
  <c r="C61"/>
  <c r="D60"/>
  <c r="E60" s="1"/>
  <c r="C60"/>
  <c r="D59"/>
  <c r="E59" s="1"/>
  <c r="C59"/>
  <c r="D58"/>
  <c r="E58" s="1"/>
  <c r="C58"/>
  <c r="D57"/>
  <c r="E57" s="1"/>
  <c r="C57"/>
  <c r="D56"/>
  <c r="E56" s="1"/>
  <c r="C56"/>
  <c r="D55"/>
  <c r="E55" s="1"/>
  <c r="C55"/>
  <c r="D54"/>
  <c r="E54" s="1"/>
  <c r="C54"/>
  <c r="D53"/>
  <c r="E53" s="1"/>
  <c r="C53"/>
  <c r="D52"/>
  <c r="E52" s="1"/>
  <c r="C52"/>
  <c r="I51"/>
  <c r="D51"/>
  <c r="E51" s="1"/>
  <c r="C51"/>
  <c r="D50"/>
  <c r="E50" s="1"/>
  <c r="C50"/>
  <c r="D49"/>
  <c r="E49" s="1"/>
  <c r="C49"/>
  <c r="D48"/>
  <c r="E48" s="1"/>
  <c r="C48"/>
  <c r="D47"/>
  <c r="E47" s="1"/>
  <c r="C47"/>
  <c r="D46"/>
  <c r="E46" s="1"/>
  <c r="C46"/>
  <c r="D45"/>
  <c r="E45" s="1"/>
  <c r="C45"/>
  <c r="I44"/>
  <c r="D44"/>
  <c r="E44" s="1"/>
  <c r="C44"/>
  <c r="D43"/>
  <c r="E43" s="1"/>
  <c r="C43"/>
  <c r="D42"/>
  <c r="E42" s="1"/>
  <c r="C42"/>
  <c r="I41"/>
  <c r="D41"/>
  <c r="E41" s="1"/>
  <c r="C41"/>
  <c r="D40"/>
  <c r="C40"/>
  <c r="E40" s="1"/>
  <c r="D39"/>
  <c r="E39" s="1"/>
  <c r="C39"/>
  <c r="D38"/>
  <c r="C38"/>
  <c r="E38" s="1"/>
  <c r="D37"/>
  <c r="E37" s="1"/>
  <c r="C37"/>
  <c r="D36"/>
  <c r="C36"/>
  <c r="E36" s="1"/>
  <c r="D35"/>
  <c r="E35" s="1"/>
  <c r="C35"/>
  <c r="D34"/>
  <c r="C34"/>
  <c r="E34" s="1"/>
  <c r="D33"/>
  <c r="E33" s="1"/>
  <c r="C33"/>
  <c r="D32"/>
  <c r="C32"/>
  <c r="E32" s="1"/>
  <c r="D31"/>
  <c r="E31" s="1"/>
  <c r="C31"/>
  <c r="D30"/>
  <c r="C30"/>
  <c r="E30" s="1"/>
  <c r="D29"/>
  <c r="E29" s="1"/>
  <c r="C29"/>
  <c r="D28"/>
  <c r="C28"/>
  <c r="E28" s="1"/>
  <c r="D27"/>
  <c r="E27" s="1"/>
  <c r="C27"/>
  <c r="D26"/>
  <c r="C26"/>
  <c r="E26" s="1"/>
  <c r="D25"/>
  <c r="E25" s="1"/>
  <c r="C25"/>
  <c r="D24"/>
  <c r="C24"/>
  <c r="E24" s="1"/>
  <c r="D23"/>
  <c r="E23" s="1"/>
  <c r="C23"/>
  <c r="I22"/>
  <c r="D22"/>
  <c r="C22"/>
  <c r="E22" s="1"/>
  <c r="D21"/>
  <c r="E21" s="1"/>
  <c r="C21"/>
  <c r="D20"/>
  <c r="C20"/>
  <c r="E20" s="1"/>
  <c r="D19"/>
  <c r="E19" s="1"/>
  <c r="C19"/>
  <c r="D18"/>
  <c r="C18"/>
  <c r="E18" s="1"/>
  <c r="D17"/>
  <c r="E17" s="1"/>
  <c r="C17"/>
  <c r="D16"/>
  <c r="C16"/>
  <c r="E16" s="1"/>
  <c r="D15"/>
  <c r="E15" s="1"/>
  <c r="C15"/>
  <c r="I14"/>
  <c r="D14"/>
  <c r="C14"/>
  <c r="E14" s="1"/>
  <c r="D13"/>
  <c r="E13" s="1"/>
  <c r="C13"/>
  <c r="D12"/>
  <c r="C12"/>
  <c r="E12" s="1"/>
  <c r="D11"/>
  <c r="E11" s="1"/>
  <c r="C11"/>
  <c r="D10"/>
  <c r="C10"/>
  <c r="E10" s="1"/>
  <c r="D9"/>
  <c r="E9" s="1"/>
  <c r="C9"/>
  <c r="D8"/>
  <c r="C8"/>
  <c r="E8" s="1"/>
  <c r="D7"/>
  <c r="E7" s="1"/>
  <c r="C7"/>
  <c r="D6"/>
  <c r="D75" s="1"/>
  <c r="C6"/>
  <c r="C75" s="1"/>
  <c r="D4"/>
  <c r="E4" s="1"/>
  <c r="F4" s="1"/>
  <c r="G4" s="1"/>
  <c r="H4" s="1"/>
  <c r="I4" s="1"/>
  <c r="J4" s="1"/>
  <c r="K4" s="1"/>
  <c r="L4" s="1"/>
  <c r="M4" s="1"/>
  <c r="D75" i="22"/>
  <c r="D4"/>
  <c r="E4" s="1"/>
  <c r="F4" s="1"/>
  <c r="G4" s="1"/>
  <c r="H4" s="1"/>
  <c r="I4" s="1"/>
  <c r="J4" s="1"/>
  <c r="K4" s="1"/>
  <c r="D74" i="21"/>
  <c r="E74" s="1"/>
  <c r="C74"/>
  <c r="D73"/>
  <c r="C73"/>
  <c r="E73" s="1"/>
  <c r="D72"/>
  <c r="E72" s="1"/>
  <c r="C72"/>
  <c r="D71"/>
  <c r="C71"/>
  <c r="E71" s="1"/>
  <c r="D70"/>
  <c r="E70" s="1"/>
  <c r="C70"/>
  <c r="D69"/>
  <c r="C69"/>
  <c r="E69" s="1"/>
  <c r="D68"/>
  <c r="E68" s="1"/>
  <c r="C68"/>
  <c r="D67"/>
  <c r="C67"/>
  <c r="E67" s="1"/>
  <c r="D66"/>
  <c r="E66" s="1"/>
  <c r="C66"/>
  <c r="D65"/>
  <c r="C65"/>
  <c r="E65" s="1"/>
  <c r="D64"/>
  <c r="C64"/>
  <c r="D63"/>
  <c r="C63"/>
  <c r="E63" s="1"/>
  <c r="D62"/>
  <c r="C62"/>
  <c r="D61"/>
  <c r="C61"/>
  <c r="E61" s="1"/>
  <c r="D60"/>
  <c r="C60"/>
  <c r="D59"/>
  <c r="C59"/>
  <c r="E59" s="1"/>
  <c r="D58"/>
  <c r="C58"/>
  <c r="D57"/>
  <c r="C57"/>
  <c r="E57" s="1"/>
  <c r="D56"/>
  <c r="C56"/>
  <c r="D55"/>
  <c r="C55"/>
  <c r="E55" s="1"/>
  <c r="D54"/>
  <c r="C54"/>
  <c r="D53"/>
  <c r="C53"/>
  <c r="E53" s="1"/>
  <c r="D52"/>
  <c r="C52"/>
  <c r="D51"/>
  <c r="C51"/>
  <c r="E51" s="1"/>
  <c r="D50"/>
  <c r="C50"/>
  <c r="D49"/>
  <c r="C49"/>
  <c r="E49" s="1"/>
  <c r="D48"/>
  <c r="C48"/>
  <c r="D47"/>
  <c r="C47"/>
  <c r="E47" s="1"/>
  <c r="D46"/>
  <c r="C46"/>
  <c r="D45"/>
  <c r="C45"/>
  <c r="E45" s="1"/>
  <c r="D44"/>
  <c r="C44"/>
  <c r="D43"/>
  <c r="C43"/>
  <c r="E43" s="1"/>
  <c r="D42"/>
  <c r="C42"/>
  <c r="D41"/>
  <c r="C41"/>
  <c r="E41" s="1"/>
  <c r="D40"/>
  <c r="C40"/>
  <c r="D39"/>
  <c r="C39"/>
  <c r="E39" s="1"/>
  <c r="D38"/>
  <c r="C38"/>
  <c r="D37"/>
  <c r="C37"/>
  <c r="E37" s="1"/>
  <c r="D36"/>
  <c r="C36"/>
  <c r="D35"/>
  <c r="C35"/>
  <c r="E35" s="1"/>
  <c r="D34"/>
  <c r="C34"/>
  <c r="D33"/>
  <c r="C33"/>
  <c r="E33" s="1"/>
  <c r="D32"/>
  <c r="C32"/>
  <c r="D31"/>
  <c r="C31"/>
  <c r="E31" s="1"/>
  <c r="D30"/>
  <c r="C30"/>
  <c r="D29"/>
  <c r="C29"/>
  <c r="E29" s="1"/>
  <c r="D28"/>
  <c r="C28"/>
  <c r="D27"/>
  <c r="C27"/>
  <c r="E27" s="1"/>
  <c r="D26"/>
  <c r="C26"/>
  <c r="D25"/>
  <c r="C25"/>
  <c r="E25" s="1"/>
  <c r="D24"/>
  <c r="C24"/>
  <c r="D23"/>
  <c r="C23"/>
  <c r="E23" s="1"/>
  <c r="D22"/>
  <c r="C22"/>
  <c r="D21"/>
  <c r="C21"/>
  <c r="E21" s="1"/>
  <c r="D20"/>
  <c r="C20"/>
  <c r="D19"/>
  <c r="C19"/>
  <c r="E19" s="1"/>
  <c r="D18"/>
  <c r="C18"/>
  <c r="D17"/>
  <c r="C17"/>
  <c r="E17" s="1"/>
  <c r="D16"/>
  <c r="C16"/>
  <c r="D15"/>
  <c r="C15"/>
  <c r="E15" s="1"/>
  <c r="D14"/>
  <c r="C14"/>
  <c r="D13"/>
  <c r="C13"/>
  <c r="E13" s="1"/>
  <c r="D12"/>
  <c r="C12"/>
  <c r="D11"/>
  <c r="C11"/>
  <c r="E11" s="1"/>
  <c r="D10"/>
  <c r="C10"/>
  <c r="D9"/>
  <c r="C9"/>
  <c r="E9" s="1"/>
  <c r="D8"/>
  <c r="C8"/>
  <c r="D7"/>
  <c r="C7"/>
  <c r="E7" s="1"/>
  <c r="D6"/>
  <c r="D75" s="1"/>
  <c r="C98" i="23" s="1"/>
  <c r="C6" i="21"/>
  <c r="C75" s="1"/>
  <c r="E4"/>
  <c r="F4" s="1"/>
  <c r="G4" s="1"/>
  <c r="H4" s="1"/>
  <c r="I4" s="1"/>
  <c r="J4" s="1"/>
  <c r="K4" s="1"/>
  <c r="L4" s="1"/>
  <c r="M4" s="1"/>
  <c r="D4"/>
  <c r="D74" i="20"/>
  <c r="C74"/>
  <c r="E74" s="1"/>
  <c r="D73"/>
  <c r="C73"/>
  <c r="D72"/>
  <c r="C72"/>
  <c r="E72" s="1"/>
  <c r="D71"/>
  <c r="C71"/>
  <c r="D70"/>
  <c r="C70"/>
  <c r="E70" s="1"/>
  <c r="D69"/>
  <c r="C69"/>
  <c r="D68"/>
  <c r="C68"/>
  <c r="E68" s="1"/>
  <c r="D67"/>
  <c r="C67"/>
  <c r="D66"/>
  <c r="C66"/>
  <c r="E66" s="1"/>
  <c r="D65"/>
  <c r="C65"/>
  <c r="D64"/>
  <c r="C64"/>
  <c r="E64" s="1"/>
  <c r="D63"/>
  <c r="C63"/>
  <c r="D62"/>
  <c r="C62"/>
  <c r="E62" s="1"/>
  <c r="D61"/>
  <c r="C61"/>
  <c r="D60"/>
  <c r="C60"/>
  <c r="E60" s="1"/>
  <c r="D59"/>
  <c r="C59"/>
  <c r="D58"/>
  <c r="C58"/>
  <c r="E58" s="1"/>
  <c r="D57"/>
  <c r="C57"/>
  <c r="D56"/>
  <c r="C56"/>
  <c r="E56" s="1"/>
  <c r="D55"/>
  <c r="C55"/>
  <c r="D54"/>
  <c r="C54"/>
  <c r="E54" s="1"/>
  <c r="D53"/>
  <c r="C53"/>
  <c r="D52"/>
  <c r="C52"/>
  <c r="E52" s="1"/>
  <c r="D51"/>
  <c r="C51"/>
  <c r="D50"/>
  <c r="C50"/>
  <c r="E50" s="1"/>
  <c r="D49"/>
  <c r="C49"/>
  <c r="D48"/>
  <c r="C48"/>
  <c r="E48" s="1"/>
  <c r="D47"/>
  <c r="C47"/>
  <c r="D46"/>
  <c r="C46"/>
  <c r="E46" s="1"/>
  <c r="D45"/>
  <c r="C45"/>
  <c r="D44"/>
  <c r="C44"/>
  <c r="E44" s="1"/>
  <c r="D43"/>
  <c r="C43"/>
  <c r="D42"/>
  <c r="C42"/>
  <c r="E42" s="1"/>
  <c r="D41"/>
  <c r="C41"/>
  <c r="D40"/>
  <c r="C40"/>
  <c r="E40" s="1"/>
  <c r="D39"/>
  <c r="C39"/>
  <c r="D38"/>
  <c r="C38"/>
  <c r="E38" s="1"/>
  <c r="D37"/>
  <c r="C37"/>
  <c r="D36"/>
  <c r="C36"/>
  <c r="E36" s="1"/>
  <c r="D35"/>
  <c r="C35"/>
  <c r="D34"/>
  <c r="C34"/>
  <c r="E34" s="1"/>
  <c r="D33"/>
  <c r="C33"/>
  <c r="D32"/>
  <c r="C32"/>
  <c r="E32" s="1"/>
  <c r="D31"/>
  <c r="C31"/>
  <c r="D30"/>
  <c r="C30"/>
  <c r="E30" s="1"/>
  <c r="D29"/>
  <c r="C29"/>
  <c r="D28"/>
  <c r="C28"/>
  <c r="E28" s="1"/>
  <c r="D27"/>
  <c r="C27"/>
  <c r="D26"/>
  <c r="C26"/>
  <c r="E26" s="1"/>
  <c r="D25"/>
  <c r="C25"/>
  <c r="D24"/>
  <c r="C24"/>
  <c r="E24" s="1"/>
  <c r="D23"/>
  <c r="C23"/>
  <c r="D22"/>
  <c r="C22"/>
  <c r="E22" s="1"/>
  <c r="D21"/>
  <c r="C21"/>
  <c r="D20"/>
  <c r="C20"/>
  <c r="E20" s="1"/>
  <c r="D19"/>
  <c r="C19"/>
  <c r="D18"/>
  <c r="C18"/>
  <c r="E18" s="1"/>
  <c r="D17"/>
  <c r="C17"/>
  <c r="D16"/>
  <c r="C16"/>
  <c r="E16" s="1"/>
  <c r="D15"/>
  <c r="C15"/>
  <c r="D14"/>
  <c r="C14"/>
  <c r="E14" s="1"/>
  <c r="D13"/>
  <c r="C13"/>
  <c r="D12"/>
  <c r="C12"/>
  <c r="E12" s="1"/>
  <c r="D11"/>
  <c r="C11"/>
  <c r="D10"/>
  <c r="C10"/>
  <c r="E10" s="1"/>
  <c r="D9"/>
  <c r="C9"/>
  <c r="D8"/>
  <c r="C8"/>
  <c r="D7"/>
  <c r="C7"/>
  <c r="D6"/>
  <c r="D75" s="1"/>
  <c r="C97" i="23" s="1"/>
  <c r="C6" i="20"/>
  <c r="C75" s="1"/>
  <c r="D4"/>
  <c r="E4" s="1"/>
  <c r="F4" s="1"/>
  <c r="G4" s="1"/>
  <c r="H4" s="1"/>
  <c r="I4" s="1"/>
  <c r="J4" s="1"/>
  <c r="K4" s="1"/>
  <c r="L4" s="1"/>
  <c r="M4" s="1"/>
  <c r="D214" i="19"/>
  <c r="I202"/>
  <c r="D202"/>
  <c r="D203" s="1"/>
  <c r="I199"/>
  <c r="D199"/>
  <c r="D200" s="1"/>
  <c r="I196"/>
  <c r="D196"/>
  <c r="I195"/>
  <c r="D195"/>
  <c r="I194"/>
  <c r="D194"/>
  <c r="I193"/>
  <c r="D193"/>
  <c r="I192"/>
  <c r="D192"/>
  <c r="I191"/>
  <c r="D191"/>
  <c r="I188"/>
  <c r="D188"/>
  <c r="I187"/>
  <c r="D187"/>
  <c r="E187" s="1"/>
  <c r="C187"/>
  <c r="I186"/>
  <c r="D186"/>
  <c r="I185"/>
  <c r="D185"/>
  <c r="I184"/>
  <c r="D184"/>
  <c r="I183"/>
  <c r="D183"/>
  <c r="I182"/>
  <c r="D182"/>
  <c r="I181"/>
  <c r="D181"/>
  <c r="I180"/>
  <c r="D180"/>
  <c r="I179"/>
  <c r="D179"/>
  <c r="I178"/>
  <c r="D178"/>
  <c r="I177"/>
  <c r="D177"/>
  <c r="I176"/>
  <c r="D176"/>
  <c r="I175"/>
  <c r="D175"/>
  <c r="I174"/>
  <c r="D174"/>
  <c r="I173"/>
  <c r="D173"/>
  <c r="I172"/>
  <c r="D172"/>
  <c r="I171"/>
  <c r="D171"/>
  <c r="I170"/>
  <c r="D170"/>
  <c r="I169"/>
  <c r="D169"/>
  <c r="I168"/>
  <c r="D168"/>
  <c r="I167"/>
  <c r="D167"/>
  <c r="I166"/>
  <c r="D166"/>
  <c r="I165"/>
  <c r="D165"/>
  <c r="I164"/>
  <c r="D164"/>
  <c r="I163"/>
  <c r="D163"/>
  <c r="I162"/>
  <c r="D162"/>
  <c r="I161"/>
  <c r="D161"/>
  <c r="I160"/>
  <c r="D160"/>
  <c r="I159"/>
  <c r="D159"/>
  <c r="I158"/>
  <c r="D158"/>
  <c r="I157"/>
  <c r="D157"/>
  <c r="I156"/>
  <c r="D156"/>
  <c r="I155"/>
  <c r="D155"/>
  <c r="I154"/>
  <c r="D154"/>
  <c r="I153"/>
  <c r="D153"/>
  <c r="I152"/>
  <c r="D152"/>
  <c r="C152"/>
  <c r="I151"/>
  <c r="D151"/>
  <c r="E151" s="1"/>
  <c r="C151"/>
  <c r="I150"/>
  <c r="D150"/>
  <c r="C150"/>
  <c r="I149"/>
  <c r="D149"/>
  <c r="I148"/>
  <c r="D148"/>
  <c r="I147"/>
  <c r="D147"/>
  <c r="I146"/>
  <c r="D146"/>
  <c r="I145"/>
  <c r="D145"/>
  <c r="I144"/>
  <c r="D144"/>
  <c r="E144" s="1"/>
  <c r="C144"/>
  <c r="I143"/>
  <c r="D143"/>
  <c r="C143"/>
  <c r="I142"/>
  <c r="D142"/>
  <c r="I141"/>
  <c r="D141"/>
  <c r="I140"/>
  <c r="D140"/>
  <c r="I139"/>
  <c r="D139"/>
  <c r="I136"/>
  <c r="D136"/>
  <c r="E136" s="1"/>
  <c r="I135"/>
  <c r="D135"/>
  <c r="E135" s="1"/>
  <c r="I134"/>
  <c r="D134"/>
  <c r="I133"/>
  <c r="D133"/>
  <c r="I132"/>
  <c r="D132"/>
  <c r="D137" s="1"/>
  <c r="D129"/>
  <c r="D130" s="1"/>
  <c r="D126"/>
  <c r="E126" s="1"/>
  <c r="D125"/>
  <c r="D127" s="1"/>
  <c r="D122"/>
  <c r="E122" s="1"/>
  <c r="D121"/>
  <c r="D123" s="1"/>
  <c r="D118"/>
  <c r="E118" s="1"/>
  <c r="C118"/>
  <c r="D117"/>
  <c r="E117" s="1"/>
  <c r="D116"/>
  <c r="E116" s="1"/>
  <c r="D115"/>
  <c r="E115" s="1"/>
  <c r="D114"/>
  <c r="C114"/>
  <c r="D113"/>
  <c r="D119" s="1"/>
  <c r="C113"/>
  <c r="C119" s="1"/>
  <c r="D110"/>
  <c r="C110"/>
  <c r="D109"/>
  <c r="C109"/>
  <c r="D108"/>
  <c r="C108"/>
  <c r="D107"/>
  <c r="D111" s="1"/>
  <c r="C107"/>
  <c r="C111" s="1"/>
  <c r="C104"/>
  <c r="E104" s="1"/>
  <c r="W10" i="11" s="1"/>
  <c r="D103" i="19"/>
  <c r="C103"/>
  <c r="D102"/>
  <c r="C102"/>
  <c r="D101"/>
  <c r="D105" s="1"/>
  <c r="C101"/>
  <c r="C105" s="1"/>
  <c r="D98"/>
  <c r="D97"/>
  <c r="I94"/>
  <c r="D94"/>
  <c r="C94"/>
  <c r="I93"/>
  <c r="D93"/>
  <c r="C93"/>
  <c r="I92"/>
  <c r="D92"/>
  <c r="C92"/>
  <c r="I91"/>
  <c r="D91"/>
  <c r="C91"/>
  <c r="I90"/>
  <c r="D90"/>
  <c r="C90"/>
  <c r="E90" s="1"/>
  <c r="I89"/>
  <c r="D89"/>
  <c r="C89"/>
  <c r="I88"/>
  <c r="D88"/>
  <c r="C88"/>
  <c r="E88" s="1"/>
  <c r="I87"/>
  <c r="D87"/>
  <c r="C87"/>
  <c r="D85"/>
  <c r="D84"/>
  <c r="C84"/>
  <c r="C85" s="1"/>
  <c r="D81"/>
  <c r="D82" s="1"/>
  <c r="C81"/>
  <c r="C82" s="1"/>
  <c r="D78"/>
  <c r="D77"/>
  <c r="D74"/>
  <c r="D73"/>
  <c r="D72"/>
  <c r="D71"/>
  <c r="D70"/>
  <c r="D69"/>
  <c r="D68"/>
  <c r="D67"/>
  <c r="D66"/>
  <c r="D65"/>
  <c r="D64"/>
  <c r="D63"/>
  <c r="D62"/>
  <c r="D61"/>
  <c r="D60"/>
  <c r="D59"/>
  <c r="D58"/>
  <c r="D57"/>
  <c r="D56"/>
  <c r="D55"/>
  <c r="D54"/>
  <c r="D53"/>
  <c r="D52"/>
  <c r="I51"/>
  <c r="D51"/>
  <c r="D50"/>
  <c r="D49"/>
  <c r="D48"/>
  <c r="D47"/>
  <c r="D46"/>
  <c r="D45"/>
  <c r="I44"/>
  <c r="D44"/>
  <c r="D43"/>
  <c r="D42"/>
  <c r="I41"/>
  <c r="D41"/>
  <c r="D40"/>
  <c r="D39"/>
  <c r="D38"/>
  <c r="D37"/>
  <c r="D36"/>
  <c r="D35"/>
  <c r="D34"/>
  <c r="D33"/>
  <c r="D32"/>
  <c r="D31"/>
  <c r="D30"/>
  <c r="D29"/>
  <c r="D28"/>
  <c r="D27"/>
  <c r="D26"/>
  <c r="D25"/>
  <c r="D24"/>
  <c r="D23"/>
  <c r="I22"/>
  <c r="D22"/>
  <c r="D21"/>
  <c r="D20"/>
  <c r="D19"/>
  <c r="D18"/>
  <c r="D17"/>
  <c r="D16"/>
  <c r="D15"/>
  <c r="I14"/>
  <c r="D14"/>
  <c r="D13"/>
  <c r="D12"/>
  <c r="D11"/>
  <c r="D10"/>
  <c r="D9"/>
  <c r="D8"/>
  <c r="D7"/>
  <c r="D6"/>
  <c r="D75" s="1"/>
  <c r="D4"/>
  <c r="E4" s="1"/>
  <c r="F4" s="1"/>
  <c r="G4" s="1"/>
  <c r="H4" s="1"/>
  <c r="I4" s="1"/>
  <c r="J4" s="1"/>
  <c r="K4" s="1"/>
  <c r="L4" s="1"/>
  <c r="M4" s="1"/>
  <c r="G208" i="18"/>
  <c r="F208"/>
  <c r="E4"/>
  <c r="F4" s="1"/>
  <c r="G4" s="1"/>
  <c r="D4"/>
  <c r="AP77" i="17"/>
  <c r="AJ77"/>
  <c r="AH77"/>
  <c r="W77"/>
  <c r="V77"/>
  <c r="P77"/>
  <c r="O77"/>
  <c r="F77"/>
  <c r="D77"/>
  <c r="C77"/>
  <c r="AK76"/>
  <c r="AN76" s="1"/>
  <c r="AI76"/>
  <c r="AA76"/>
  <c r="Y76"/>
  <c r="S76"/>
  <c r="X76" s="1"/>
  <c r="L76"/>
  <c r="L77" s="1"/>
  <c r="J76"/>
  <c r="J77" s="1"/>
  <c r="Q79" s="1"/>
  <c r="E76"/>
  <c r="G76" s="1"/>
  <c r="AI75"/>
  <c r="AK75" s="1"/>
  <c r="AA75"/>
  <c r="Z75"/>
  <c r="Y75"/>
  <c r="X75"/>
  <c r="AE75" s="1"/>
  <c r="Q75"/>
  <c r="AC75" s="1"/>
  <c r="E75"/>
  <c r="G75" s="1"/>
  <c r="AI74"/>
  <c r="AK74" s="1"/>
  <c r="AA74"/>
  <c r="Z74"/>
  <c r="Y74"/>
  <c r="X74"/>
  <c r="AE74" s="1"/>
  <c r="Q74"/>
  <c r="AC74" s="1"/>
  <c r="E74"/>
  <c r="G74" s="1"/>
  <c r="AI73"/>
  <c r="AK73" s="1"/>
  <c r="AA73"/>
  <c r="Z73"/>
  <c r="Y73"/>
  <c r="X73"/>
  <c r="AE73" s="1"/>
  <c r="Q73"/>
  <c r="AC73" s="1"/>
  <c r="E73"/>
  <c r="G73" s="1"/>
  <c r="AI72"/>
  <c r="AK72" s="1"/>
  <c r="AA72"/>
  <c r="Z72"/>
  <c r="Y72"/>
  <c r="X72"/>
  <c r="AE72" s="1"/>
  <c r="Q72"/>
  <c r="AC72" s="1"/>
  <c r="E72"/>
  <c r="G72" s="1"/>
  <c r="AI71"/>
  <c r="AK71" s="1"/>
  <c r="AA71"/>
  <c r="Z71"/>
  <c r="Y71"/>
  <c r="X71"/>
  <c r="AE71" s="1"/>
  <c r="Q71"/>
  <c r="AC71" s="1"/>
  <c r="E71"/>
  <c r="G71" s="1"/>
  <c r="AI70"/>
  <c r="AK70" s="1"/>
  <c r="AA70"/>
  <c r="Z70"/>
  <c r="Y70"/>
  <c r="X70"/>
  <c r="AE70" s="1"/>
  <c r="Q70"/>
  <c r="AC70" s="1"/>
  <c r="E70"/>
  <c r="G70" s="1"/>
  <c r="AI69"/>
  <c r="AK69" s="1"/>
  <c r="AA69"/>
  <c r="Z69"/>
  <c r="Y69"/>
  <c r="X69"/>
  <c r="AE69" s="1"/>
  <c r="Q69"/>
  <c r="AC69" s="1"/>
  <c r="E69"/>
  <c r="G69" s="1"/>
  <c r="AI68"/>
  <c r="AK68" s="1"/>
  <c r="AA68"/>
  <c r="Z68"/>
  <c r="Y68"/>
  <c r="X68"/>
  <c r="AE68" s="1"/>
  <c r="Q68"/>
  <c r="AC68" s="1"/>
  <c r="E68"/>
  <c r="G68" s="1"/>
  <c r="AI67"/>
  <c r="AK67" s="1"/>
  <c r="AA67"/>
  <c r="Z67"/>
  <c r="Y67"/>
  <c r="X67"/>
  <c r="AE67" s="1"/>
  <c r="Q67"/>
  <c r="AC67" s="1"/>
  <c r="E67"/>
  <c r="G67" s="1"/>
  <c r="AI66"/>
  <c r="AK66" s="1"/>
  <c r="AA66"/>
  <c r="Z66"/>
  <c r="Y66"/>
  <c r="X66"/>
  <c r="AE66" s="1"/>
  <c r="Q66"/>
  <c r="AC66" s="1"/>
  <c r="E66"/>
  <c r="G66" s="1"/>
  <c r="AI65"/>
  <c r="AK65" s="1"/>
  <c r="AA65"/>
  <c r="Z65"/>
  <c r="Y65"/>
  <c r="X65"/>
  <c r="AE65" s="1"/>
  <c r="Q65"/>
  <c r="AC65" s="1"/>
  <c r="E65"/>
  <c r="G65" s="1"/>
  <c r="AI64"/>
  <c r="AK64" s="1"/>
  <c r="AA64"/>
  <c r="Z64"/>
  <c r="Y64"/>
  <c r="X64"/>
  <c r="AE64" s="1"/>
  <c r="Q64"/>
  <c r="AC64" s="1"/>
  <c r="E64"/>
  <c r="G64" s="1"/>
  <c r="AI63"/>
  <c r="AK63" s="1"/>
  <c r="AA63"/>
  <c r="Z63"/>
  <c r="Y63"/>
  <c r="X63"/>
  <c r="AE63" s="1"/>
  <c r="Q63"/>
  <c r="AC63" s="1"/>
  <c r="E63"/>
  <c r="G63" s="1"/>
  <c r="AI62"/>
  <c r="AK62" s="1"/>
  <c r="AA62"/>
  <c r="Z62"/>
  <c r="Y62"/>
  <c r="X62"/>
  <c r="AE62" s="1"/>
  <c r="Q62"/>
  <c r="AC62" s="1"/>
  <c r="E62"/>
  <c r="G62" s="1"/>
  <c r="AI61"/>
  <c r="AK61" s="1"/>
  <c r="AA61"/>
  <c r="Z61"/>
  <c r="Y61"/>
  <c r="X61"/>
  <c r="AE61" s="1"/>
  <c r="Q61"/>
  <c r="AC61" s="1"/>
  <c r="E61"/>
  <c r="G61" s="1"/>
  <c r="AI60"/>
  <c r="AK60" s="1"/>
  <c r="AA60"/>
  <c r="Z60"/>
  <c r="Y60"/>
  <c r="X60"/>
  <c r="AE60" s="1"/>
  <c r="Q60"/>
  <c r="AC60" s="1"/>
  <c r="E60"/>
  <c r="G60" s="1"/>
  <c r="AI59"/>
  <c r="AK59" s="1"/>
  <c r="AA59"/>
  <c r="Z59"/>
  <c r="Y59"/>
  <c r="X59"/>
  <c r="AE59" s="1"/>
  <c r="Q59"/>
  <c r="AC59" s="1"/>
  <c r="E59"/>
  <c r="G59" s="1"/>
  <c r="AI58"/>
  <c r="AK58" s="1"/>
  <c r="AA58"/>
  <c r="Z58"/>
  <c r="Y58"/>
  <c r="X58"/>
  <c r="AE58" s="1"/>
  <c r="Q58"/>
  <c r="AC58" s="1"/>
  <c r="E58"/>
  <c r="G58" s="1"/>
  <c r="AI57"/>
  <c r="AK57" s="1"/>
  <c r="AA57"/>
  <c r="Z57"/>
  <c r="Y57"/>
  <c r="X57"/>
  <c r="AE57" s="1"/>
  <c r="Q57"/>
  <c r="AC57" s="1"/>
  <c r="E57"/>
  <c r="G57" s="1"/>
  <c r="AI56"/>
  <c r="AK56" s="1"/>
  <c r="AA56"/>
  <c r="Z56"/>
  <c r="Y56"/>
  <c r="X56"/>
  <c r="AE56" s="1"/>
  <c r="Q56"/>
  <c r="AC56" s="1"/>
  <c r="E56"/>
  <c r="G56" s="1"/>
  <c r="AI55"/>
  <c r="AK55" s="1"/>
  <c r="AA55"/>
  <c r="Z55"/>
  <c r="Y55"/>
  <c r="X55"/>
  <c r="AE55" s="1"/>
  <c r="Q55"/>
  <c r="AC55" s="1"/>
  <c r="E55"/>
  <c r="G55" s="1"/>
  <c r="AI54"/>
  <c r="AK54" s="1"/>
  <c r="AA54"/>
  <c r="Z54"/>
  <c r="Y54"/>
  <c r="X54"/>
  <c r="AE54" s="1"/>
  <c r="Q54"/>
  <c r="AC54" s="1"/>
  <c r="E54"/>
  <c r="G54" s="1"/>
  <c r="AI53"/>
  <c r="AK53" s="1"/>
  <c r="AA53"/>
  <c r="Z53"/>
  <c r="Y53"/>
  <c r="X53"/>
  <c r="AE53" s="1"/>
  <c r="Q53"/>
  <c r="AC53" s="1"/>
  <c r="E53"/>
  <c r="G53" s="1"/>
  <c r="AI52"/>
  <c r="AK52" s="1"/>
  <c r="AA52"/>
  <c r="Z52"/>
  <c r="Y52"/>
  <c r="X52"/>
  <c r="AE52" s="1"/>
  <c r="Q52"/>
  <c r="AC52" s="1"/>
  <c r="E52"/>
  <c r="G52" s="1"/>
  <c r="AI51"/>
  <c r="AK51" s="1"/>
  <c r="AA51"/>
  <c r="Z51"/>
  <c r="Y51"/>
  <c r="X51"/>
  <c r="AE51" s="1"/>
  <c r="Q51"/>
  <c r="AC51" s="1"/>
  <c r="E51"/>
  <c r="G51" s="1"/>
  <c r="AI50"/>
  <c r="AK50" s="1"/>
  <c r="AA50"/>
  <c r="Z50"/>
  <c r="Y50"/>
  <c r="X50"/>
  <c r="AE50" s="1"/>
  <c r="Q50"/>
  <c r="AC50" s="1"/>
  <c r="E50"/>
  <c r="G50" s="1"/>
  <c r="AI49"/>
  <c r="AK49" s="1"/>
  <c r="AA49"/>
  <c r="Z49"/>
  <c r="Y49"/>
  <c r="X49"/>
  <c r="AE49" s="1"/>
  <c r="Q49"/>
  <c r="AC49" s="1"/>
  <c r="E49"/>
  <c r="G49" s="1"/>
  <c r="AI48"/>
  <c r="AK48" s="1"/>
  <c r="AA48"/>
  <c r="Z48"/>
  <c r="Y48"/>
  <c r="X48"/>
  <c r="AE48" s="1"/>
  <c r="Q48"/>
  <c r="AC48" s="1"/>
  <c r="E48"/>
  <c r="G48" s="1"/>
  <c r="AI47"/>
  <c r="AK47" s="1"/>
  <c r="AA47"/>
  <c r="Z47"/>
  <c r="Y47"/>
  <c r="X47"/>
  <c r="AE47" s="1"/>
  <c r="Q47"/>
  <c r="AC47" s="1"/>
  <c r="E47"/>
  <c r="G47" s="1"/>
  <c r="AI46"/>
  <c r="AK46" s="1"/>
  <c r="AA46"/>
  <c r="Z46"/>
  <c r="Y46"/>
  <c r="X46"/>
  <c r="AE46" s="1"/>
  <c r="Q46"/>
  <c r="AC46" s="1"/>
  <c r="E46"/>
  <c r="G46" s="1"/>
  <c r="AI45"/>
  <c r="AK45" s="1"/>
  <c r="AA45"/>
  <c r="Z45"/>
  <c r="Y45"/>
  <c r="X45"/>
  <c r="AE45" s="1"/>
  <c r="Q45"/>
  <c r="AC45" s="1"/>
  <c r="E45"/>
  <c r="G45" s="1"/>
  <c r="AI44"/>
  <c r="AK44" s="1"/>
  <c r="AA44"/>
  <c r="Z44"/>
  <c r="Y44"/>
  <c r="X44"/>
  <c r="AE44" s="1"/>
  <c r="Q44"/>
  <c r="AC44" s="1"/>
  <c r="E44"/>
  <c r="G44" s="1"/>
  <c r="AI43"/>
  <c r="AK43" s="1"/>
  <c r="AG43"/>
  <c r="AG77" s="1"/>
  <c r="AA43"/>
  <c r="Z43"/>
  <c r="Y43"/>
  <c r="X43"/>
  <c r="AB43" s="1"/>
  <c r="Q43"/>
  <c r="AE43" s="1"/>
  <c r="G43"/>
  <c r="E43"/>
  <c r="H43" s="1"/>
  <c r="D44" i="16" s="1"/>
  <c r="E44" s="1"/>
  <c r="AK42" i="17"/>
  <c r="AN42" s="1"/>
  <c r="AI42"/>
  <c r="AA42"/>
  <c r="Z42"/>
  <c r="Y42"/>
  <c r="X42"/>
  <c r="AB42" s="1"/>
  <c r="Q42"/>
  <c r="AE42" s="1"/>
  <c r="G42"/>
  <c r="E42"/>
  <c r="H42" s="1"/>
  <c r="D43" i="16" s="1"/>
  <c r="E43" s="1"/>
  <c r="AK41" i="17"/>
  <c r="AN41" s="1"/>
  <c r="AI41"/>
  <c r="AA41"/>
  <c r="Z41"/>
  <c r="Y41"/>
  <c r="X41"/>
  <c r="AB41" s="1"/>
  <c r="Q41"/>
  <c r="AE41" s="1"/>
  <c r="G41"/>
  <c r="E41"/>
  <c r="H41" s="1"/>
  <c r="D42" i="16" s="1"/>
  <c r="E42" s="1"/>
  <c r="AK40" i="17"/>
  <c r="AN40" s="1"/>
  <c r="AI40"/>
  <c r="AA40"/>
  <c r="Z40"/>
  <c r="Y40"/>
  <c r="X40"/>
  <c r="AB40" s="1"/>
  <c r="Q40"/>
  <c r="AE40" s="1"/>
  <c r="G40"/>
  <c r="E40"/>
  <c r="H40" s="1"/>
  <c r="D41" i="16" s="1"/>
  <c r="E41" s="1"/>
  <c r="AK39" i="17"/>
  <c r="AN39" s="1"/>
  <c r="AI39"/>
  <c r="AA39"/>
  <c r="Z39"/>
  <c r="Y39"/>
  <c r="X39"/>
  <c r="AB39" s="1"/>
  <c r="Q39"/>
  <c r="AE39" s="1"/>
  <c r="G39"/>
  <c r="E39"/>
  <c r="H39" s="1"/>
  <c r="D40" i="16" s="1"/>
  <c r="E40" s="1"/>
  <c r="AK38" i="17"/>
  <c r="AN38" s="1"/>
  <c r="AI38"/>
  <c r="AA38"/>
  <c r="Z38"/>
  <c r="Y38"/>
  <c r="X38"/>
  <c r="AB38" s="1"/>
  <c r="Q38"/>
  <c r="AE38" s="1"/>
  <c r="G38"/>
  <c r="E38"/>
  <c r="H38" s="1"/>
  <c r="D39" i="16" s="1"/>
  <c r="E39" s="1"/>
  <c r="AK37" i="17"/>
  <c r="AN37" s="1"/>
  <c r="AI37"/>
  <c r="AA37"/>
  <c r="Z37"/>
  <c r="Y37"/>
  <c r="X37"/>
  <c r="AB37" s="1"/>
  <c r="Q37"/>
  <c r="AE37" s="1"/>
  <c r="G37"/>
  <c r="E37"/>
  <c r="H37" s="1"/>
  <c r="D38" i="16" s="1"/>
  <c r="E38" s="1"/>
  <c r="AK36" i="17"/>
  <c r="AN36" s="1"/>
  <c r="AI36"/>
  <c r="AA36"/>
  <c r="Z36"/>
  <c r="Y36"/>
  <c r="X36"/>
  <c r="AB36" s="1"/>
  <c r="Q36"/>
  <c r="AE36" s="1"/>
  <c r="G36"/>
  <c r="E36"/>
  <c r="H36" s="1"/>
  <c r="D37" i="16" s="1"/>
  <c r="E37" s="1"/>
  <c r="AK35" i="17"/>
  <c r="AN35" s="1"/>
  <c r="AI35"/>
  <c r="AA35"/>
  <c r="Z35"/>
  <c r="Y35"/>
  <c r="X35"/>
  <c r="AB35" s="1"/>
  <c r="Q35"/>
  <c r="AE35" s="1"/>
  <c r="G35"/>
  <c r="E35"/>
  <c r="H35" s="1"/>
  <c r="D36" i="16" s="1"/>
  <c r="E36" s="1"/>
  <c r="AK34" i="17"/>
  <c r="AN34" s="1"/>
  <c r="AI34"/>
  <c r="AA34"/>
  <c r="Z34"/>
  <c r="Y34"/>
  <c r="X34"/>
  <c r="AB34" s="1"/>
  <c r="Q34"/>
  <c r="AE34" s="1"/>
  <c r="G34"/>
  <c r="E34"/>
  <c r="H34" s="1"/>
  <c r="D35" i="16" s="1"/>
  <c r="E35" s="1"/>
  <c r="AK33" i="17"/>
  <c r="AN33" s="1"/>
  <c r="AI33"/>
  <c r="AA33"/>
  <c r="Z33"/>
  <c r="Y33"/>
  <c r="X33"/>
  <c r="AB33" s="1"/>
  <c r="Q33"/>
  <c r="AE33" s="1"/>
  <c r="G33"/>
  <c r="E33"/>
  <c r="H33" s="1"/>
  <c r="D34" i="16" s="1"/>
  <c r="E34" s="1"/>
  <c r="AK32" i="17"/>
  <c r="AN32" s="1"/>
  <c r="AI32"/>
  <c r="AA32"/>
  <c r="Z32"/>
  <c r="Y32"/>
  <c r="X32"/>
  <c r="AB32" s="1"/>
  <c r="Q32"/>
  <c r="AE32" s="1"/>
  <c r="G32"/>
  <c r="E32"/>
  <c r="H32" s="1"/>
  <c r="D33" i="16" s="1"/>
  <c r="E33" s="1"/>
  <c r="AK31" i="17"/>
  <c r="AN31" s="1"/>
  <c r="AI31"/>
  <c r="AA31"/>
  <c r="Z31"/>
  <c r="Y31"/>
  <c r="X31"/>
  <c r="AB31" s="1"/>
  <c r="Q31"/>
  <c r="AE31" s="1"/>
  <c r="G31"/>
  <c r="E31"/>
  <c r="H31" s="1"/>
  <c r="D32" i="16" s="1"/>
  <c r="E32" s="1"/>
  <c r="AK30" i="17"/>
  <c r="AN30" s="1"/>
  <c r="AI30"/>
  <c r="AA30"/>
  <c r="Z30"/>
  <c r="Y30"/>
  <c r="X30"/>
  <c r="AB30" s="1"/>
  <c r="Q30"/>
  <c r="AE30" s="1"/>
  <c r="G30"/>
  <c r="E30"/>
  <c r="H30" s="1"/>
  <c r="D31" i="16" s="1"/>
  <c r="E31" s="1"/>
  <c r="AK29" i="17"/>
  <c r="AN29" s="1"/>
  <c r="AI29"/>
  <c r="AA29"/>
  <c r="Z29"/>
  <c r="Y29"/>
  <c r="X29"/>
  <c r="AB29" s="1"/>
  <c r="Q29"/>
  <c r="AE29" s="1"/>
  <c r="G29"/>
  <c r="E29"/>
  <c r="H29" s="1"/>
  <c r="D30" i="16" s="1"/>
  <c r="E30" s="1"/>
  <c r="AK28" i="17"/>
  <c r="AN28" s="1"/>
  <c r="AI28"/>
  <c r="AA28"/>
  <c r="Z28"/>
  <c r="Y28"/>
  <c r="X28"/>
  <c r="AB28" s="1"/>
  <c r="Q28"/>
  <c r="AE28" s="1"/>
  <c r="G28"/>
  <c r="E28"/>
  <c r="H28" s="1"/>
  <c r="D29" i="16" s="1"/>
  <c r="E29" s="1"/>
  <c r="AK27" i="17"/>
  <c r="AN27" s="1"/>
  <c r="AI27"/>
  <c r="AA27"/>
  <c r="Z27"/>
  <c r="Y27"/>
  <c r="X27"/>
  <c r="AB27" s="1"/>
  <c r="Q27"/>
  <c r="AE27" s="1"/>
  <c r="G27"/>
  <c r="E27"/>
  <c r="H27" s="1"/>
  <c r="D28" i="16" s="1"/>
  <c r="E28" s="1"/>
  <c r="AK26" i="17"/>
  <c r="AN26" s="1"/>
  <c r="AI26"/>
  <c r="AA26"/>
  <c r="Z26"/>
  <c r="Y26"/>
  <c r="X26"/>
  <c r="AB26" s="1"/>
  <c r="Q26"/>
  <c r="AE26" s="1"/>
  <c r="G26"/>
  <c r="E26"/>
  <c r="H26" s="1"/>
  <c r="D27" i="16" s="1"/>
  <c r="E27" s="1"/>
  <c r="AK25" i="17"/>
  <c r="AN25" s="1"/>
  <c r="AI25"/>
  <c r="AA25"/>
  <c r="Z25"/>
  <c r="Y25"/>
  <c r="X25"/>
  <c r="AB25" s="1"/>
  <c r="Q25"/>
  <c r="AE25" s="1"/>
  <c r="G25"/>
  <c r="E25"/>
  <c r="H25" s="1"/>
  <c r="D26" i="16" s="1"/>
  <c r="E26" s="1"/>
  <c r="AK24" i="17"/>
  <c r="AN24" s="1"/>
  <c r="AI24"/>
  <c r="AA24"/>
  <c r="Z24"/>
  <c r="Y24"/>
  <c r="X24"/>
  <c r="AB24" s="1"/>
  <c r="Q24"/>
  <c r="AE24" s="1"/>
  <c r="G24"/>
  <c r="E24"/>
  <c r="H24" s="1"/>
  <c r="D25" i="16" s="1"/>
  <c r="E25" s="1"/>
  <c r="AK23" i="17"/>
  <c r="AN23" s="1"/>
  <c r="AI23"/>
  <c r="AA23"/>
  <c r="Z23"/>
  <c r="Y23"/>
  <c r="X23"/>
  <c r="AB23" s="1"/>
  <c r="Q23"/>
  <c r="AE23" s="1"/>
  <c r="G23"/>
  <c r="E23"/>
  <c r="H23" s="1"/>
  <c r="D24" i="16" s="1"/>
  <c r="E24" s="1"/>
  <c r="AK22" i="17"/>
  <c r="AN22" s="1"/>
  <c r="AI22"/>
  <c r="AA22"/>
  <c r="Z22"/>
  <c r="Y22"/>
  <c r="X22"/>
  <c r="AB22" s="1"/>
  <c r="Q22"/>
  <c r="AE22" s="1"/>
  <c r="G22"/>
  <c r="E22"/>
  <c r="H22" s="1"/>
  <c r="D23" i="16" s="1"/>
  <c r="E23" s="1"/>
  <c r="AK21" i="17"/>
  <c r="AN21" s="1"/>
  <c r="AI21"/>
  <c r="AA21"/>
  <c r="Z21"/>
  <c r="Y21"/>
  <c r="X21"/>
  <c r="AB21" s="1"/>
  <c r="Q21"/>
  <c r="AE21" s="1"/>
  <c r="G21"/>
  <c r="E21"/>
  <c r="H21" s="1"/>
  <c r="D22" i="16" s="1"/>
  <c r="E22" s="1"/>
  <c r="AK20" i="17"/>
  <c r="AN20" s="1"/>
  <c r="AI20"/>
  <c r="AA20"/>
  <c r="Z20"/>
  <c r="Y20"/>
  <c r="X20"/>
  <c r="AB20" s="1"/>
  <c r="Q20"/>
  <c r="AE20" s="1"/>
  <c r="G20"/>
  <c r="E20"/>
  <c r="H20" s="1"/>
  <c r="D21" i="16" s="1"/>
  <c r="E21" s="1"/>
  <c r="AO19" i="17"/>
  <c r="AN19"/>
  <c r="AM19"/>
  <c r="AL19"/>
  <c r="AI19"/>
  <c r="F20" i="16" s="1"/>
  <c r="AA19" i="17"/>
  <c r="Z19"/>
  <c r="Y19"/>
  <c r="X19"/>
  <c r="AE19" s="1"/>
  <c r="Q19"/>
  <c r="AC19" s="1"/>
  <c r="E19"/>
  <c r="G19" s="1"/>
  <c r="AI18"/>
  <c r="AK18" s="1"/>
  <c r="AA18"/>
  <c r="Z18"/>
  <c r="Y18"/>
  <c r="X18"/>
  <c r="AE18" s="1"/>
  <c r="Q18"/>
  <c r="AC18" s="1"/>
  <c r="E18"/>
  <c r="G18" s="1"/>
  <c r="AI17"/>
  <c r="AK17" s="1"/>
  <c r="AA17"/>
  <c r="Z17"/>
  <c r="Y17"/>
  <c r="X17"/>
  <c r="AE17" s="1"/>
  <c r="Q17"/>
  <c r="AC17" s="1"/>
  <c r="E17"/>
  <c r="G17" s="1"/>
  <c r="AI16"/>
  <c r="AK16" s="1"/>
  <c r="AA16"/>
  <c r="Z16"/>
  <c r="Y16"/>
  <c r="X16"/>
  <c r="AE16" s="1"/>
  <c r="Q16"/>
  <c r="AC16" s="1"/>
  <c r="E16"/>
  <c r="G16" s="1"/>
  <c r="AI15"/>
  <c r="AK15" s="1"/>
  <c r="AA15"/>
  <c r="Z15"/>
  <c r="Y15"/>
  <c r="X15"/>
  <c r="AE15" s="1"/>
  <c r="Q15"/>
  <c r="AC15" s="1"/>
  <c r="E15"/>
  <c r="G15" s="1"/>
  <c r="AI14"/>
  <c r="AK14" s="1"/>
  <c r="AA14"/>
  <c r="Z14"/>
  <c r="Y14"/>
  <c r="X14"/>
  <c r="AE14" s="1"/>
  <c r="Q14"/>
  <c r="AC14" s="1"/>
  <c r="E14"/>
  <c r="G14" s="1"/>
  <c r="AI13"/>
  <c r="AK13" s="1"/>
  <c r="AA13"/>
  <c r="Z13"/>
  <c r="Y13"/>
  <c r="X13"/>
  <c r="AE13" s="1"/>
  <c r="Q13"/>
  <c r="AC13" s="1"/>
  <c r="E13"/>
  <c r="G13" s="1"/>
  <c r="AI12"/>
  <c r="AK12" s="1"/>
  <c r="AA12"/>
  <c r="Z12"/>
  <c r="Y12"/>
  <c r="X12"/>
  <c r="AE12" s="1"/>
  <c r="Q12"/>
  <c r="AC12" s="1"/>
  <c r="E12"/>
  <c r="G12" s="1"/>
  <c r="AI11"/>
  <c r="AK11" s="1"/>
  <c r="AA11"/>
  <c r="Z11"/>
  <c r="Y11"/>
  <c r="X11"/>
  <c r="AE11" s="1"/>
  <c r="Q11"/>
  <c r="AC11" s="1"/>
  <c r="E11"/>
  <c r="G11" s="1"/>
  <c r="AI10"/>
  <c r="AK10" s="1"/>
  <c r="AA10"/>
  <c r="Z10"/>
  <c r="Y10"/>
  <c r="X10"/>
  <c r="AE10" s="1"/>
  <c r="Q10"/>
  <c r="AC10" s="1"/>
  <c r="E10"/>
  <c r="G10" s="1"/>
  <c r="AI9"/>
  <c r="AK9" s="1"/>
  <c r="AA9"/>
  <c r="Z9"/>
  <c r="Y9"/>
  <c r="X9"/>
  <c r="AE9" s="1"/>
  <c r="Q9"/>
  <c r="AC9" s="1"/>
  <c r="E9"/>
  <c r="G9" s="1"/>
  <c r="AI8"/>
  <c r="AI77" s="1"/>
  <c r="AA8"/>
  <c r="AA77" s="1"/>
  <c r="Z8"/>
  <c r="Y8"/>
  <c r="X8"/>
  <c r="X77" s="1"/>
  <c r="Q8"/>
  <c r="E8"/>
  <c r="E77" s="1"/>
  <c r="G77" s="1"/>
  <c r="I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D6"/>
  <c r="I77" i="16"/>
  <c r="F77"/>
  <c r="I76"/>
  <c r="F76"/>
  <c r="I75"/>
  <c r="F75"/>
  <c r="I74"/>
  <c r="F74"/>
  <c r="I73"/>
  <c r="F73"/>
  <c r="I72"/>
  <c r="F72"/>
  <c r="I71"/>
  <c r="F71"/>
  <c r="I70"/>
  <c r="F70"/>
  <c r="I69"/>
  <c r="F69"/>
  <c r="I68"/>
  <c r="F68"/>
  <c r="I67"/>
  <c r="F67"/>
  <c r="I66"/>
  <c r="F66"/>
  <c r="I65"/>
  <c r="F65"/>
  <c r="I64"/>
  <c r="F64"/>
  <c r="I63"/>
  <c r="F63"/>
  <c r="I62"/>
  <c r="F62"/>
  <c r="I61"/>
  <c r="F61"/>
  <c r="I60"/>
  <c r="F60"/>
  <c r="I59"/>
  <c r="F59"/>
  <c r="I58"/>
  <c r="F58"/>
  <c r="I57"/>
  <c r="F57"/>
  <c r="I56"/>
  <c r="F56"/>
  <c r="I55"/>
  <c r="F55"/>
  <c r="I54"/>
  <c r="F54"/>
  <c r="I53"/>
  <c r="F53"/>
  <c r="I52"/>
  <c r="F52"/>
  <c r="I51"/>
  <c r="F51"/>
  <c r="I50"/>
  <c r="F50"/>
  <c r="I49"/>
  <c r="F49"/>
  <c r="I48"/>
  <c r="F48"/>
  <c r="I47"/>
  <c r="F47"/>
  <c r="I46"/>
  <c r="F46"/>
  <c r="I45"/>
  <c r="F45"/>
  <c r="I44"/>
  <c r="F44"/>
  <c r="I43"/>
  <c r="F43"/>
  <c r="I42"/>
  <c r="F42"/>
  <c r="I41"/>
  <c r="F41"/>
  <c r="I40"/>
  <c r="F40"/>
  <c r="I39"/>
  <c r="F39"/>
  <c r="I38"/>
  <c r="F38"/>
  <c r="I37"/>
  <c r="F37"/>
  <c r="I36"/>
  <c r="F36"/>
  <c r="I35"/>
  <c r="F35"/>
  <c r="I34"/>
  <c r="F34"/>
  <c r="I33"/>
  <c r="F33"/>
  <c r="I32"/>
  <c r="F32"/>
  <c r="I31"/>
  <c r="F31"/>
  <c r="I30"/>
  <c r="F30"/>
  <c r="I29"/>
  <c r="F29"/>
  <c r="I28"/>
  <c r="F28"/>
  <c r="I27"/>
  <c r="F27"/>
  <c r="I26"/>
  <c r="F26"/>
  <c r="I25"/>
  <c r="F25"/>
  <c r="I24"/>
  <c r="F24"/>
  <c r="I23"/>
  <c r="F23"/>
  <c r="I22"/>
  <c r="F22"/>
  <c r="I21"/>
  <c r="F21"/>
  <c r="I20"/>
  <c r="G20"/>
  <c r="H20" s="1"/>
  <c r="I19"/>
  <c r="I18"/>
  <c r="I17"/>
  <c r="I16"/>
  <c r="I15"/>
  <c r="I14"/>
  <c r="I13"/>
  <c r="I12"/>
  <c r="I11"/>
  <c r="I10"/>
  <c r="I9"/>
  <c r="E7"/>
  <c r="F7" s="1"/>
  <c r="G7" s="1"/>
  <c r="H7" s="1"/>
  <c r="I7" s="1"/>
  <c r="J7" s="1"/>
  <c r="D7"/>
  <c r="H6"/>
  <c r="E6"/>
  <c r="C99" i="15"/>
  <c r="C92"/>
  <c r="C97" s="1"/>
  <c r="C88"/>
  <c r="E81"/>
  <c r="E83" s="1"/>
  <c r="E4" s="1"/>
  <c r="P75"/>
  <c r="H75"/>
  <c r="C75"/>
  <c r="C74" i="22" s="1"/>
  <c r="E74" s="1"/>
  <c r="P74" i="15"/>
  <c r="H74"/>
  <c r="C74"/>
  <c r="C73" i="22" s="1"/>
  <c r="E73" s="1"/>
  <c r="P73" i="15"/>
  <c r="H73"/>
  <c r="C73"/>
  <c r="C72" i="22" s="1"/>
  <c r="E72" s="1"/>
  <c r="P72" i="15"/>
  <c r="H72"/>
  <c r="C72"/>
  <c r="C71" i="22" s="1"/>
  <c r="E71" s="1"/>
  <c r="P71" i="15"/>
  <c r="H71"/>
  <c r="C71"/>
  <c r="C70" i="22" s="1"/>
  <c r="E70" s="1"/>
  <c r="P70" i="15"/>
  <c r="H70"/>
  <c r="C70"/>
  <c r="C69" i="22" s="1"/>
  <c r="E69" s="1"/>
  <c r="P69" i="15"/>
  <c r="H69"/>
  <c r="C69"/>
  <c r="C68" i="22" s="1"/>
  <c r="E68" s="1"/>
  <c r="P68" i="15"/>
  <c r="H68"/>
  <c r="C68"/>
  <c r="C67" i="22" s="1"/>
  <c r="E67" s="1"/>
  <c r="P67" i="15"/>
  <c r="H67"/>
  <c r="C67"/>
  <c r="C66" i="22" s="1"/>
  <c r="E66" s="1"/>
  <c r="P66" i="15"/>
  <c r="H66"/>
  <c r="C66"/>
  <c r="C65" i="22" s="1"/>
  <c r="E65" s="1"/>
  <c r="P65" i="15"/>
  <c r="H65"/>
  <c r="C65"/>
  <c r="C64" i="22" s="1"/>
  <c r="E64" s="1"/>
  <c r="P64" i="15"/>
  <c r="H64"/>
  <c r="C64"/>
  <c r="C63" i="22" s="1"/>
  <c r="E63" s="1"/>
  <c r="P63" i="15"/>
  <c r="H63"/>
  <c r="C63"/>
  <c r="C62" i="22" s="1"/>
  <c r="E62" s="1"/>
  <c r="P62" i="15"/>
  <c r="H62"/>
  <c r="C62"/>
  <c r="C61" i="22" s="1"/>
  <c r="E61" s="1"/>
  <c r="P61" i="15"/>
  <c r="H61"/>
  <c r="C61"/>
  <c r="C60" i="22" s="1"/>
  <c r="E60" s="1"/>
  <c r="P60" i="15"/>
  <c r="H60"/>
  <c r="C60"/>
  <c r="C59" i="22" s="1"/>
  <c r="E59" s="1"/>
  <c r="P59" i="15"/>
  <c r="H59"/>
  <c r="C59"/>
  <c r="C58" i="22" s="1"/>
  <c r="E58" s="1"/>
  <c r="P58" i="15"/>
  <c r="H58"/>
  <c r="C58"/>
  <c r="C57" i="22" s="1"/>
  <c r="E57" s="1"/>
  <c r="P57" i="15"/>
  <c r="H57"/>
  <c r="C57"/>
  <c r="C56" i="22" s="1"/>
  <c r="E56" s="1"/>
  <c r="P56" i="15"/>
  <c r="H56"/>
  <c r="C56"/>
  <c r="C55" i="22" s="1"/>
  <c r="E55" s="1"/>
  <c r="P55" i="15"/>
  <c r="H55"/>
  <c r="C55"/>
  <c r="C54" i="22" s="1"/>
  <c r="E54" s="1"/>
  <c r="P54" i="15"/>
  <c r="H54"/>
  <c r="C54"/>
  <c r="C53" i="22" s="1"/>
  <c r="E53" s="1"/>
  <c r="P53" i="15"/>
  <c r="H53"/>
  <c r="C53"/>
  <c r="C52" i="22" s="1"/>
  <c r="E52" s="1"/>
  <c r="P52" i="15"/>
  <c r="H52"/>
  <c r="C52"/>
  <c r="C51" i="22" s="1"/>
  <c r="E51" s="1"/>
  <c r="P51" i="15"/>
  <c r="H51"/>
  <c r="C51"/>
  <c r="C50" i="22" s="1"/>
  <c r="E50" s="1"/>
  <c r="P50" i="15"/>
  <c r="H50"/>
  <c r="C50"/>
  <c r="C49" i="22" s="1"/>
  <c r="E49" s="1"/>
  <c r="P49" i="15"/>
  <c r="H49"/>
  <c r="C49"/>
  <c r="C48" i="22" s="1"/>
  <c r="E48" s="1"/>
  <c r="P48" i="15"/>
  <c r="H48"/>
  <c r="C48"/>
  <c r="C47" i="22" s="1"/>
  <c r="E47" s="1"/>
  <c r="P47" i="15"/>
  <c r="H47"/>
  <c r="C47"/>
  <c r="C46" i="22" s="1"/>
  <c r="E46" s="1"/>
  <c r="P46" i="15"/>
  <c r="H46"/>
  <c r="C46"/>
  <c r="C45" i="22" s="1"/>
  <c r="E45" s="1"/>
  <c r="P45" i="15"/>
  <c r="H45"/>
  <c r="C45"/>
  <c r="C44" i="22" s="1"/>
  <c r="E44" s="1"/>
  <c r="P44" i="15"/>
  <c r="H44"/>
  <c r="C44"/>
  <c r="C43" i="22" s="1"/>
  <c r="E43" s="1"/>
  <c r="P43" i="15"/>
  <c r="H43"/>
  <c r="C43"/>
  <c r="C42" i="22" s="1"/>
  <c r="E42" s="1"/>
  <c r="P42" i="15"/>
  <c r="H42"/>
  <c r="C42"/>
  <c r="C41" i="22" s="1"/>
  <c r="E41" s="1"/>
  <c r="P41" i="15"/>
  <c r="H41"/>
  <c r="C41"/>
  <c r="C40" i="22" s="1"/>
  <c r="E40" s="1"/>
  <c r="P40" i="15"/>
  <c r="H40"/>
  <c r="C40"/>
  <c r="C39" i="22" s="1"/>
  <c r="E39" s="1"/>
  <c r="P39" i="15"/>
  <c r="H39"/>
  <c r="C39"/>
  <c r="C38" i="22" s="1"/>
  <c r="E38" s="1"/>
  <c r="P38" i="15"/>
  <c r="H38"/>
  <c r="C38"/>
  <c r="C37" i="22" s="1"/>
  <c r="E37" s="1"/>
  <c r="P37" i="15"/>
  <c r="H37"/>
  <c r="C37"/>
  <c r="C36" i="22" s="1"/>
  <c r="E36" s="1"/>
  <c r="P36" i="15"/>
  <c r="H36"/>
  <c r="C36"/>
  <c r="C35" i="22" s="1"/>
  <c r="E35" s="1"/>
  <c r="P35" i="15"/>
  <c r="H35"/>
  <c r="C35"/>
  <c r="C34" i="22" s="1"/>
  <c r="E34" s="1"/>
  <c r="P34" i="15"/>
  <c r="H34"/>
  <c r="C34"/>
  <c r="C33" i="22" s="1"/>
  <c r="E33" s="1"/>
  <c r="P33" i="15"/>
  <c r="H33"/>
  <c r="C33"/>
  <c r="C32" i="22" s="1"/>
  <c r="E32" s="1"/>
  <c r="P32" i="15"/>
  <c r="H32"/>
  <c r="C32"/>
  <c r="C31" i="22" s="1"/>
  <c r="E31" s="1"/>
  <c r="P31" i="15"/>
  <c r="H31"/>
  <c r="C31"/>
  <c r="C30" i="22" s="1"/>
  <c r="E30" s="1"/>
  <c r="P30" i="15"/>
  <c r="H30"/>
  <c r="C30"/>
  <c r="C29" i="22" s="1"/>
  <c r="E29" s="1"/>
  <c r="P29" i="15"/>
  <c r="H29"/>
  <c r="C29"/>
  <c r="C28" i="22" s="1"/>
  <c r="E28" s="1"/>
  <c r="P28" i="15"/>
  <c r="H28"/>
  <c r="C28"/>
  <c r="C27" i="22" s="1"/>
  <c r="E27" s="1"/>
  <c r="P27" i="15"/>
  <c r="H27"/>
  <c r="C27"/>
  <c r="C26" i="22" s="1"/>
  <c r="E26" s="1"/>
  <c r="P26" i="15"/>
  <c r="H26"/>
  <c r="C26"/>
  <c r="C25" i="22" s="1"/>
  <c r="E25" s="1"/>
  <c r="P25" i="15"/>
  <c r="H25"/>
  <c r="C25"/>
  <c r="C24" i="22" s="1"/>
  <c r="E24" s="1"/>
  <c r="P24" i="15"/>
  <c r="H24"/>
  <c r="C24"/>
  <c r="C23" i="22" s="1"/>
  <c r="E23" s="1"/>
  <c r="P23" i="15"/>
  <c r="H23"/>
  <c r="C23"/>
  <c r="C22" i="22" s="1"/>
  <c r="E22" s="1"/>
  <c r="P22" i="15"/>
  <c r="H22"/>
  <c r="C22"/>
  <c r="C21" i="22" s="1"/>
  <c r="E21" s="1"/>
  <c r="P21" i="15"/>
  <c r="H21"/>
  <c r="C21"/>
  <c r="C20" i="22" s="1"/>
  <c r="E20" s="1"/>
  <c r="P20" i="15"/>
  <c r="H20"/>
  <c r="C20"/>
  <c r="C19" i="22" s="1"/>
  <c r="E19" s="1"/>
  <c r="P19" i="15"/>
  <c r="H19"/>
  <c r="C19"/>
  <c r="C18" i="22" s="1"/>
  <c r="E18" s="1"/>
  <c r="P18" i="15"/>
  <c r="H18"/>
  <c r="C18"/>
  <c r="C17" i="22" s="1"/>
  <c r="E17" s="1"/>
  <c r="P17" i="15"/>
  <c r="H17"/>
  <c r="C17"/>
  <c r="C16" i="22" s="1"/>
  <c r="E16" s="1"/>
  <c r="P16" i="15"/>
  <c r="H16"/>
  <c r="C16"/>
  <c r="C15" i="22" s="1"/>
  <c r="E15" s="1"/>
  <c r="P15" i="15"/>
  <c r="H15"/>
  <c r="C15"/>
  <c r="C14" i="22" s="1"/>
  <c r="E14" s="1"/>
  <c r="P14" i="15"/>
  <c r="H14"/>
  <c r="C14"/>
  <c r="C13" i="22" s="1"/>
  <c r="E13" s="1"/>
  <c r="P13" i="15"/>
  <c r="H13"/>
  <c r="C13"/>
  <c r="C12" i="22" s="1"/>
  <c r="E12" s="1"/>
  <c r="P12" i="15"/>
  <c r="H12"/>
  <c r="C12"/>
  <c r="C11" i="22" s="1"/>
  <c r="E11" s="1"/>
  <c r="P11" i="15"/>
  <c r="H11"/>
  <c r="C11"/>
  <c r="C10" i="22" s="1"/>
  <c r="E10" s="1"/>
  <c r="P10" i="15"/>
  <c r="H10"/>
  <c r="C10"/>
  <c r="C9" i="22" s="1"/>
  <c r="E9" s="1"/>
  <c r="P9" i="15"/>
  <c r="H9"/>
  <c r="C9"/>
  <c r="C8" i="22" s="1"/>
  <c r="E8" s="1"/>
  <c r="P8" i="15"/>
  <c r="H8"/>
  <c r="C8"/>
  <c r="C7" i="22" s="1"/>
  <c r="E7" s="1"/>
  <c r="P7" i="15"/>
  <c r="P76" s="1"/>
  <c r="H7"/>
  <c r="H76" s="1"/>
  <c r="C7"/>
  <c r="C6" i="22" s="1"/>
  <c r="D5" i="15"/>
  <c r="E5" s="1"/>
  <c r="F5" s="1"/>
  <c r="G5" s="1"/>
  <c r="H5" s="1"/>
  <c r="I5" s="1"/>
  <c r="J5" s="1"/>
  <c r="K5" s="1"/>
  <c r="L5" s="1"/>
  <c r="M5" s="1"/>
  <c r="N5" s="1"/>
  <c r="O5" s="1"/>
  <c r="P5" s="1"/>
  <c r="Q5" s="1"/>
  <c r="R5" s="1"/>
  <c r="S5" s="1"/>
  <c r="T5" s="1"/>
  <c r="U5" s="1"/>
  <c r="V5" s="1"/>
  <c r="B30" i="14"/>
  <c r="O22"/>
  <c r="C22"/>
  <c r="Q18"/>
  <c r="O18"/>
  <c r="C18"/>
  <c r="S17"/>
  <c r="G17"/>
  <c r="E17"/>
  <c r="H17" s="1"/>
  <c r="D17"/>
  <c r="S16"/>
  <c r="G16"/>
  <c r="E16"/>
  <c r="H16" s="1"/>
  <c r="D16"/>
  <c r="S15"/>
  <c r="G15"/>
  <c r="E15"/>
  <c r="H15" s="1"/>
  <c r="D15"/>
  <c r="S14"/>
  <c r="G14"/>
  <c r="E14"/>
  <c r="H14" s="1"/>
  <c r="D14"/>
  <c r="S13"/>
  <c r="G13"/>
  <c r="E13"/>
  <c r="H13" s="1"/>
  <c r="D13"/>
  <c r="S12"/>
  <c r="G12"/>
  <c r="D12"/>
  <c r="S11"/>
  <c r="G11"/>
  <c r="D11"/>
  <c r="S10"/>
  <c r="S18" s="1"/>
  <c r="G10"/>
  <c r="G18" s="1"/>
  <c r="G22" s="1"/>
  <c r="D10"/>
  <c r="D9"/>
  <c r="E9" s="1"/>
  <c r="F9" s="1"/>
  <c r="G9" s="1"/>
  <c r="H9" s="1"/>
  <c r="I9" s="1"/>
  <c r="J9" s="1"/>
  <c r="K9" s="1"/>
  <c r="L9" s="1"/>
  <c r="M9" s="1"/>
  <c r="N9" s="1"/>
  <c r="O9" s="1"/>
  <c r="P9" s="1"/>
  <c r="Q9" s="1"/>
  <c r="R9" s="1"/>
  <c r="S9" s="1"/>
  <c r="T9" s="1"/>
  <c r="U9" s="1"/>
  <c r="V9" s="1"/>
  <c r="W9" s="1"/>
  <c r="B80" i="13"/>
  <c r="AF74"/>
  <c r="AF78" s="1"/>
  <c r="Q74"/>
  <c r="O74"/>
  <c r="O78" s="1"/>
  <c r="C74"/>
  <c r="C78" s="1"/>
  <c r="C98" i="19" s="1"/>
  <c r="AH73" i="13"/>
  <c r="Z73"/>
  <c r="AA73" s="1"/>
  <c r="X73"/>
  <c r="Y73" s="1"/>
  <c r="AB73" s="1"/>
  <c r="W73"/>
  <c r="V73"/>
  <c r="S73"/>
  <c r="AH72"/>
  <c r="Z72"/>
  <c r="X72"/>
  <c r="Y72" s="1"/>
  <c r="V72"/>
  <c r="S72"/>
  <c r="AH71"/>
  <c r="Z71"/>
  <c r="AA71" s="1"/>
  <c r="X71"/>
  <c r="Y71" s="1"/>
  <c r="W71"/>
  <c r="V71"/>
  <c r="S71"/>
  <c r="AH70"/>
  <c r="Z70"/>
  <c r="X70"/>
  <c r="Y70" s="1"/>
  <c r="V70"/>
  <c r="S70"/>
  <c r="AH69"/>
  <c r="Z69"/>
  <c r="AA69" s="1"/>
  <c r="X69"/>
  <c r="Y69" s="1"/>
  <c r="AB69" s="1"/>
  <c r="W69"/>
  <c r="V69"/>
  <c r="S69"/>
  <c r="AH68"/>
  <c r="Z68"/>
  <c r="X68"/>
  <c r="Y68" s="1"/>
  <c r="V68"/>
  <c r="S68"/>
  <c r="AH67"/>
  <c r="Z67"/>
  <c r="AA67" s="1"/>
  <c r="X67"/>
  <c r="Y67" s="1"/>
  <c r="W67"/>
  <c r="V67"/>
  <c r="S67"/>
  <c r="AH66"/>
  <c r="Z66"/>
  <c r="X66"/>
  <c r="Y66" s="1"/>
  <c r="V66"/>
  <c r="S66"/>
  <c r="AH65"/>
  <c r="Z65"/>
  <c r="AA65" s="1"/>
  <c r="X65"/>
  <c r="Y65" s="1"/>
  <c r="AB65" s="1"/>
  <c r="W65"/>
  <c r="V65"/>
  <c r="S65"/>
  <c r="AH64"/>
  <c r="Z64"/>
  <c r="X64"/>
  <c r="Y64" s="1"/>
  <c r="V64"/>
  <c r="S64"/>
  <c r="AH63"/>
  <c r="Z63"/>
  <c r="AA63" s="1"/>
  <c r="W63"/>
  <c r="V63"/>
  <c r="S63"/>
  <c r="AH62"/>
  <c r="Z62"/>
  <c r="X62"/>
  <c r="Y62" s="1"/>
  <c r="V62"/>
  <c r="S62"/>
  <c r="AH61"/>
  <c r="Z61"/>
  <c r="AA61" s="1"/>
  <c r="W61"/>
  <c r="V61"/>
  <c r="S61"/>
  <c r="AH60"/>
  <c r="Z60"/>
  <c r="X60"/>
  <c r="Y60" s="1"/>
  <c r="V60"/>
  <c r="S60"/>
  <c r="AH59"/>
  <c r="Z59"/>
  <c r="AA59" s="1"/>
  <c r="W59"/>
  <c r="V59"/>
  <c r="S59"/>
  <c r="AH58"/>
  <c r="Z58"/>
  <c r="X58"/>
  <c r="Y58" s="1"/>
  <c r="V58"/>
  <c r="S58"/>
  <c r="AH57"/>
  <c r="AA57"/>
  <c r="Z57"/>
  <c r="W57"/>
  <c r="V57"/>
  <c r="S57"/>
  <c r="AH56"/>
  <c r="Z56"/>
  <c r="X56"/>
  <c r="Y56" s="1"/>
  <c r="V56"/>
  <c r="AA56" s="1"/>
  <c r="S56"/>
  <c r="AH55"/>
  <c r="Z55"/>
  <c r="AA55" s="1"/>
  <c r="W55"/>
  <c r="V55"/>
  <c r="S55"/>
  <c r="AH54"/>
  <c r="Z54"/>
  <c r="X54"/>
  <c r="Y54" s="1"/>
  <c r="V54"/>
  <c r="AA54" s="1"/>
  <c r="S54"/>
  <c r="AH53"/>
  <c r="Z53"/>
  <c r="AA53" s="1"/>
  <c r="W53"/>
  <c r="V53"/>
  <c r="S53"/>
  <c r="AH52"/>
  <c r="Z52"/>
  <c r="X52"/>
  <c r="Y52" s="1"/>
  <c r="V52"/>
  <c r="AA52" s="1"/>
  <c r="S52"/>
  <c r="AH51"/>
  <c r="Z51"/>
  <c r="AA51" s="1"/>
  <c r="W51"/>
  <c r="V51"/>
  <c r="S51"/>
  <c r="AH50"/>
  <c r="Z50"/>
  <c r="X50"/>
  <c r="Y50" s="1"/>
  <c r="AB50" s="1"/>
  <c r="V50"/>
  <c r="AA50" s="1"/>
  <c r="S50"/>
  <c r="AH49"/>
  <c r="AA49"/>
  <c r="Z49"/>
  <c r="W49"/>
  <c r="V49"/>
  <c r="S49"/>
  <c r="AH48"/>
  <c r="Z48"/>
  <c r="X48"/>
  <c r="Y48" s="1"/>
  <c r="V48"/>
  <c r="AA48" s="1"/>
  <c r="S48"/>
  <c r="AH47"/>
  <c r="Z47"/>
  <c r="AA47" s="1"/>
  <c r="W47"/>
  <c r="V47"/>
  <c r="S47"/>
  <c r="AH46"/>
  <c r="Z46"/>
  <c r="X46"/>
  <c r="Y46" s="1"/>
  <c r="V46"/>
  <c r="AA46" s="1"/>
  <c r="S46"/>
  <c r="AH45"/>
  <c r="Z45"/>
  <c r="AA45" s="1"/>
  <c r="W45"/>
  <c r="V45"/>
  <c r="S45"/>
  <c r="AH44"/>
  <c r="Z44"/>
  <c r="X44"/>
  <c r="Y44" s="1"/>
  <c r="V44"/>
  <c r="AA44" s="1"/>
  <c r="S44"/>
  <c r="AH43"/>
  <c r="Z43"/>
  <c r="AA43" s="1"/>
  <c r="W43"/>
  <c r="V43"/>
  <c r="S43"/>
  <c r="G43"/>
  <c r="F43"/>
  <c r="AH42"/>
  <c r="Z42"/>
  <c r="X42"/>
  <c r="Y42" s="1"/>
  <c r="AB42" s="1"/>
  <c r="V42"/>
  <c r="AA42" s="1"/>
  <c r="S42"/>
  <c r="AH41"/>
  <c r="AA41"/>
  <c r="Z41"/>
  <c r="W41"/>
  <c r="V41"/>
  <c r="S41"/>
  <c r="AH40"/>
  <c r="Z40"/>
  <c r="X40"/>
  <c r="Y40" s="1"/>
  <c r="V40"/>
  <c r="AA40" s="1"/>
  <c r="S40"/>
  <c r="F40"/>
  <c r="AH39"/>
  <c r="AA39"/>
  <c r="Z39"/>
  <c r="W39"/>
  <c r="V39"/>
  <c r="S39"/>
  <c r="AH38"/>
  <c r="Z38"/>
  <c r="X38"/>
  <c r="Y38" s="1"/>
  <c r="V38"/>
  <c r="AA38" s="1"/>
  <c r="S38"/>
  <c r="AH37"/>
  <c r="Z37"/>
  <c r="AA37" s="1"/>
  <c r="W37"/>
  <c r="V37"/>
  <c r="S37"/>
  <c r="AH36"/>
  <c r="Z36"/>
  <c r="X36"/>
  <c r="Y36" s="1"/>
  <c r="V36"/>
  <c r="AA36" s="1"/>
  <c r="S36"/>
  <c r="AH35"/>
  <c r="Z35"/>
  <c r="AA35" s="1"/>
  <c r="W35"/>
  <c r="V35"/>
  <c r="S35"/>
  <c r="AH34"/>
  <c r="Z34"/>
  <c r="X34"/>
  <c r="Y34" s="1"/>
  <c r="V34"/>
  <c r="AA34" s="1"/>
  <c r="S34"/>
  <c r="AH33"/>
  <c r="Z33"/>
  <c r="AA33" s="1"/>
  <c r="W33"/>
  <c r="V33"/>
  <c r="S33"/>
  <c r="AH32"/>
  <c r="Z32"/>
  <c r="X32"/>
  <c r="Y32" s="1"/>
  <c r="AB32" s="1"/>
  <c r="V32"/>
  <c r="AA32" s="1"/>
  <c r="S32"/>
  <c r="AH31"/>
  <c r="AA31"/>
  <c r="Z31"/>
  <c r="W31"/>
  <c r="V31"/>
  <c r="S31"/>
  <c r="AH30"/>
  <c r="Z30"/>
  <c r="X30"/>
  <c r="Y30" s="1"/>
  <c r="V30"/>
  <c r="AA30" s="1"/>
  <c r="S30"/>
  <c r="AH29"/>
  <c r="Z29"/>
  <c r="AA29" s="1"/>
  <c r="W29"/>
  <c r="V29"/>
  <c r="S29"/>
  <c r="AH28"/>
  <c r="Z28"/>
  <c r="X28"/>
  <c r="Y28" s="1"/>
  <c r="V28"/>
  <c r="AA28" s="1"/>
  <c r="S28"/>
  <c r="AH27"/>
  <c r="Z27"/>
  <c r="AA27" s="1"/>
  <c r="W27"/>
  <c r="V27"/>
  <c r="S27"/>
  <c r="AH26"/>
  <c r="Z26"/>
  <c r="X26"/>
  <c r="Y26" s="1"/>
  <c r="V26"/>
  <c r="AA26" s="1"/>
  <c r="S26"/>
  <c r="AH25"/>
  <c r="Z25"/>
  <c r="AA25" s="1"/>
  <c r="W25"/>
  <c r="V25"/>
  <c r="S25"/>
  <c r="AH24"/>
  <c r="Z24"/>
  <c r="X24"/>
  <c r="Y24" s="1"/>
  <c r="V24"/>
  <c r="AA24" s="1"/>
  <c r="S24"/>
  <c r="AH23"/>
  <c r="AA23"/>
  <c r="Z23"/>
  <c r="W23"/>
  <c r="V23"/>
  <c r="S23"/>
  <c r="AH22"/>
  <c r="Z22"/>
  <c r="X22"/>
  <c r="Y22" s="1"/>
  <c r="V22"/>
  <c r="AA22" s="1"/>
  <c r="S22"/>
  <c r="AH21"/>
  <c r="Z21"/>
  <c r="AA21" s="1"/>
  <c r="W21"/>
  <c r="V21"/>
  <c r="S21"/>
  <c r="F21"/>
  <c r="G21" s="1"/>
  <c r="AH20"/>
  <c r="Z20"/>
  <c r="X20"/>
  <c r="Y20" s="1"/>
  <c r="V20"/>
  <c r="AA20" s="1"/>
  <c r="S20"/>
  <c r="AH19"/>
  <c r="Z19"/>
  <c r="AA19" s="1"/>
  <c r="W19"/>
  <c r="V19"/>
  <c r="S19"/>
  <c r="AH18"/>
  <c r="Z18"/>
  <c r="X18"/>
  <c r="Y18" s="1"/>
  <c r="V18"/>
  <c r="AA18" s="1"/>
  <c r="S18"/>
  <c r="AH17"/>
  <c r="Z17"/>
  <c r="AA17" s="1"/>
  <c r="W17"/>
  <c r="V17"/>
  <c r="S17"/>
  <c r="AH16"/>
  <c r="Z16"/>
  <c r="X16"/>
  <c r="Y16" s="1"/>
  <c r="V16"/>
  <c r="AA16" s="1"/>
  <c r="S16"/>
  <c r="AH15"/>
  <c r="AA15"/>
  <c r="Z15"/>
  <c r="W15"/>
  <c r="V15"/>
  <c r="S15"/>
  <c r="AH14"/>
  <c r="Z14"/>
  <c r="X14"/>
  <c r="Y14" s="1"/>
  <c r="V14"/>
  <c r="AA14" s="1"/>
  <c r="S14"/>
  <c r="AH13"/>
  <c r="Z13"/>
  <c r="AA13" s="1"/>
  <c r="W13"/>
  <c r="V13"/>
  <c r="S13"/>
  <c r="AH12"/>
  <c r="Z12"/>
  <c r="X12"/>
  <c r="Y12" s="1"/>
  <c r="V12"/>
  <c r="AA12" s="1"/>
  <c r="S12"/>
  <c r="AH11"/>
  <c r="Z11"/>
  <c r="AA11" s="1"/>
  <c r="W11"/>
  <c r="V11"/>
  <c r="S11"/>
  <c r="AH10"/>
  <c r="Z10"/>
  <c r="X10"/>
  <c r="Y10" s="1"/>
  <c r="V10"/>
  <c r="AA10" s="1"/>
  <c r="S10"/>
  <c r="AH9"/>
  <c r="Z9"/>
  <c r="AA9" s="1"/>
  <c r="W9"/>
  <c r="V9"/>
  <c r="S9"/>
  <c r="AH8"/>
  <c r="Z8"/>
  <c r="X8"/>
  <c r="Y8" s="1"/>
  <c r="V8"/>
  <c r="AA8" s="1"/>
  <c r="S8"/>
  <c r="AH7"/>
  <c r="AA7"/>
  <c r="Z7"/>
  <c r="W7"/>
  <c r="V7"/>
  <c r="S7"/>
  <c r="AH6"/>
  <c r="Z6"/>
  <c r="X6"/>
  <c r="Y6" s="1"/>
  <c r="V6"/>
  <c r="AA6" s="1"/>
  <c r="S6"/>
  <c r="AH5"/>
  <c r="AH74" s="1"/>
  <c r="W5"/>
  <c r="V5"/>
  <c r="S5"/>
  <c r="S74" s="1"/>
  <c r="D4"/>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B80" i="12"/>
  <c r="AF74"/>
  <c r="AF78" s="1"/>
  <c r="Q74"/>
  <c r="O74"/>
  <c r="O78" s="1"/>
  <c r="C74"/>
  <c r="C78" s="1"/>
  <c r="C97" i="19" s="1"/>
  <c r="C99" s="1"/>
  <c r="AH73" i="12"/>
  <c r="Z73"/>
  <c r="AA73" s="1"/>
  <c r="X73"/>
  <c r="Y73" s="1"/>
  <c r="AB73" s="1"/>
  <c r="W73"/>
  <c r="V73"/>
  <c r="S73"/>
  <c r="AH72"/>
  <c r="Z72"/>
  <c r="V72"/>
  <c r="AA72" s="1"/>
  <c r="S72"/>
  <c r="AH71"/>
  <c r="Z71"/>
  <c r="AA71" s="1"/>
  <c r="X71"/>
  <c r="Y71" s="1"/>
  <c r="W71"/>
  <c r="V71"/>
  <c r="S71"/>
  <c r="AH70"/>
  <c r="Z70"/>
  <c r="V70"/>
  <c r="AA70" s="1"/>
  <c r="S70"/>
  <c r="AH69"/>
  <c r="Z69"/>
  <c r="AA69" s="1"/>
  <c r="X69"/>
  <c r="Y69" s="1"/>
  <c r="AB69" s="1"/>
  <c r="W69"/>
  <c r="V69"/>
  <c r="S69"/>
  <c r="AH68"/>
  <c r="Z68"/>
  <c r="V68"/>
  <c r="AA68" s="1"/>
  <c r="S68"/>
  <c r="AH67"/>
  <c r="Z67"/>
  <c r="AA67" s="1"/>
  <c r="X67"/>
  <c r="Y67" s="1"/>
  <c r="W67"/>
  <c r="V67"/>
  <c r="S67"/>
  <c r="AH66"/>
  <c r="Z66"/>
  <c r="V66"/>
  <c r="AA66" s="1"/>
  <c r="S66"/>
  <c r="AH65"/>
  <c r="Z65"/>
  <c r="AA65" s="1"/>
  <c r="X65"/>
  <c r="Y65" s="1"/>
  <c r="AB65" s="1"/>
  <c r="W65"/>
  <c r="V65"/>
  <c r="S65"/>
  <c r="AH64"/>
  <c r="Z64"/>
  <c r="V64"/>
  <c r="AA64" s="1"/>
  <c r="S64"/>
  <c r="AH63"/>
  <c r="Z63"/>
  <c r="AA63" s="1"/>
  <c r="X63"/>
  <c r="Y63" s="1"/>
  <c r="W63"/>
  <c r="V63"/>
  <c r="S63"/>
  <c r="AH62"/>
  <c r="Z62"/>
  <c r="V62"/>
  <c r="AA62" s="1"/>
  <c r="S62"/>
  <c r="AH61"/>
  <c r="Z61"/>
  <c r="AA61" s="1"/>
  <c r="X61"/>
  <c r="Y61" s="1"/>
  <c r="AB61" s="1"/>
  <c r="W61"/>
  <c r="V61"/>
  <c r="S61"/>
  <c r="AH60"/>
  <c r="Z60"/>
  <c r="V60"/>
  <c r="AA60" s="1"/>
  <c r="S60"/>
  <c r="AH59"/>
  <c r="Z59"/>
  <c r="AA59" s="1"/>
  <c r="X59"/>
  <c r="Y59" s="1"/>
  <c r="W59"/>
  <c r="V59"/>
  <c r="S59"/>
  <c r="AH58"/>
  <c r="Z58"/>
  <c r="V58"/>
  <c r="AA58" s="1"/>
  <c r="S58"/>
  <c r="AH57"/>
  <c r="Z57"/>
  <c r="AA57" s="1"/>
  <c r="X57"/>
  <c r="Y57" s="1"/>
  <c r="AB57" s="1"/>
  <c r="W57"/>
  <c r="V57"/>
  <c r="S57"/>
  <c r="AH56"/>
  <c r="Z56"/>
  <c r="V56"/>
  <c r="AA56" s="1"/>
  <c r="S56"/>
  <c r="AH55"/>
  <c r="Z55"/>
  <c r="AA55" s="1"/>
  <c r="X55"/>
  <c r="Y55" s="1"/>
  <c r="W55"/>
  <c r="V55"/>
  <c r="S55"/>
  <c r="AH54"/>
  <c r="Z54"/>
  <c r="V54"/>
  <c r="AA54" s="1"/>
  <c r="S54"/>
  <c r="AH53"/>
  <c r="Z53"/>
  <c r="AA53" s="1"/>
  <c r="X53"/>
  <c r="Y53" s="1"/>
  <c r="AB53" s="1"/>
  <c r="W53"/>
  <c r="V53"/>
  <c r="S53"/>
  <c r="AH52"/>
  <c r="Z52"/>
  <c r="V52"/>
  <c r="AA52" s="1"/>
  <c r="S52"/>
  <c r="AH51"/>
  <c r="Z51"/>
  <c r="AA51" s="1"/>
  <c r="X51"/>
  <c r="Y51" s="1"/>
  <c r="W51"/>
  <c r="V51"/>
  <c r="S51"/>
  <c r="AH50"/>
  <c r="Z50"/>
  <c r="V50"/>
  <c r="AA50" s="1"/>
  <c r="S50"/>
  <c r="AH49"/>
  <c r="Z49"/>
  <c r="AA49" s="1"/>
  <c r="X49"/>
  <c r="Y49" s="1"/>
  <c r="AB49" s="1"/>
  <c r="W49"/>
  <c r="V49"/>
  <c r="S49"/>
  <c r="AH48"/>
  <c r="Z48"/>
  <c r="V48"/>
  <c r="AA48" s="1"/>
  <c r="S48"/>
  <c r="AH47"/>
  <c r="Z47"/>
  <c r="AA47" s="1"/>
  <c r="X47"/>
  <c r="Y47" s="1"/>
  <c r="W47"/>
  <c r="V47"/>
  <c r="S47"/>
  <c r="AH46"/>
  <c r="Z46"/>
  <c r="V46"/>
  <c r="AA46" s="1"/>
  <c r="S46"/>
  <c r="AH45"/>
  <c r="Z45"/>
  <c r="AA45" s="1"/>
  <c r="X45"/>
  <c r="Y45" s="1"/>
  <c r="AB45" s="1"/>
  <c r="W45"/>
  <c r="V45"/>
  <c r="S45"/>
  <c r="AH44"/>
  <c r="Z44"/>
  <c r="V44"/>
  <c r="AA44" s="1"/>
  <c r="S44"/>
  <c r="AH43"/>
  <c r="Z43"/>
  <c r="AA43" s="1"/>
  <c r="X43"/>
  <c r="Y43" s="1"/>
  <c r="W43"/>
  <c r="V43"/>
  <c r="S43"/>
  <c r="F43"/>
  <c r="G43" s="1"/>
  <c r="AH42"/>
  <c r="Z42"/>
  <c r="V42"/>
  <c r="S42"/>
  <c r="AH41"/>
  <c r="Z41"/>
  <c r="AA41" s="1"/>
  <c r="X41"/>
  <c r="Y41" s="1"/>
  <c r="W41"/>
  <c r="V41"/>
  <c r="S41"/>
  <c r="AH40"/>
  <c r="Z40"/>
  <c r="V40"/>
  <c r="S40"/>
  <c r="F40"/>
  <c r="AH39"/>
  <c r="Z39"/>
  <c r="AA39" s="1"/>
  <c r="X39"/>
  <c r="Y39" s="1"/>
  <c r="W39"/>
  <c r="V39"/>
  <c r="S39"/>
  <c r="AH38"/>
  <c r="Z38"/>
  <c r="V38"/>
  <c r="AA38" s="1"/>
  <c r="S38"/>
  <c r="AH37"/>
  <c r="Z37"/>
  <c r="AA37" s="1"/>
  <c r="X37"/>
  <c r="Y37" s="1"/>
  <c r="W37"/>
  <c r="V37"/>
  <c r="S37"/>
  <c r="AH36"/>
  <c r="Z36"/>
  <c r="V36"/>
  <c r="AA36" s="1"/>
  <c r="S36"/>
  <c r="AH35"/>
  <c r="Z35"/>
  <c r="AA35" s="1"/>
  <c r="X35"/>
  <c r="Y35" s="1"/>
  <c r="AB35" s="1"/>
  <c r="W35"/>
  <c r="V35"/>
  <c r="S35"/>
  <c r="AH34"/>
  <c r="Z34"/>
  <c r="V34"/>
  <c r="AA34" s="1"/>
  <c r="S34"/>
  <c r="AH33"/>
  <c r="Z33"/>
  <c r="AA33" s="1"/>
  <c r="X33"/>
  <c r="Y33" s="1"/>
  <c r="W33"/>
  <c r="V33"/>
  <c r="S33"/>
  <c r="AH32"/>
  <c r="Z32"/>
  <c r="V32"/>
  <c r="AA32" s="1"/>
  <c r="S32"/>
  <c r="AH31"/>
  <c r="Z31"/>
  <c r="AA31" s="1"/>
  <c r="X31"/>
  <c r="Y31" s="1"/>
  <c r="AB31" s="1"/>
  <c r="W31"/>
  <c r="V31"/>
  <c r="S31"/>
  <c r="AH30"/>
  <c r="Z30"/>
  <c r="V30"/>
  <c r="AA30" s="1"/>
  <c r="S30"/>
  <c r="AH29"/>
  <c r="Z29"/>
  <c r="AA29" s="1"/>
  <c r="X29"/>
  <c r="Y29" s="1"/>
  <c r="W29"/>
  <c r="V29"/>
  <c r="S29"/>
  <c r="AH28"/>
  <c r="Z28"/>
  <c r="V28"/>
  <c r="AA28" s="1"/>
  <c r="S28"/>
  <c r="AH27"/>
  <c r="Z27"/>
  <c r="AA27" s="1"/>
  <c r="X27"/>
  <c r="Y27" s="1"/>
  <c r="AB27" s="1"/>
  <c r="W27"/>
  <c r="V27"/>
  <c r="S27"/>
  <c r="AH26"/>
  <c r="Z26"/>
  <c r="V26"/>
  <c r="AA26" s="1"/>
  <c r="S26"/>
  <c r="AH25"/>
  <c r="Z25"/>
  <c r="AA25" s="1"/>
  <c r="X25"/>
  <c r="Y25" s="1"/>
  <c r="AB25" s="1"/>
  <c r="W25"/>
  <c r="V25"/>
  <c r="S25"/>
  <c r="AH24"/>
  <c r="Z24"/>
  <c r="V24"/>
  <c r="AA24" s="1"/>
  <c r="S24"/>
  <c r="AH23"/>
  <c r="Z23"/>
  <c r="AA23" s="1"/>
  <c r="X23"/>
  <c r="Y23" s="1"/>
  <c r="AB23" s="1"/>
  <c r="W23"/>
  <c r="V23"/>
  <c r="S23"/>
  <c r="AH22"/>
  <c r="Z22"/>
  <c r="V22"/>
  <c r="AA22" s="1"/>
  <c r="S22"/>
  <c r="AH21"/>
  <c r="Z21"/>
  <c r="AA21" s="1"/>
  <c r="X21"/>
  <c r="Y21" s="1"/>
  <c r="AB21" s="1"/>
  <c r="W21"/>
  <c r="V21"/>
  <c r="S21"/>
  <c r="F21"/>
  <c r="G21" s="1"/>
  <c r="AH20"/>
  <c r="Z20"/>
  <c r="V20"/>
  <c r="S20"/>
  <c r="AH19"/>
  <c r="Z19"/>
  <c r="AA19" s="1"/>
  <c r="X19"/>
  <c r="Y19" s="1"/>
  <c r="W19"/>
  <c r="V19"/>
  <c r="S19"/>
  <c r="AH18"/>
  <c r="Z18"/>
  <c r="V18"/>
  <c r="S18"/>
  <c r="AH17"/>
  <c r="AA17"/>
  <c r="Z17"/>
  <c r="Y17"/>
  <c r="AB17" s="1"/>
  <c r="X17"/>
  <c r="W17"/>
  <c r="AC17" s="1"/>
  <c r="V17"/>
  <c r="S17"/>
  <c r="AH16"/>
  <c r="Z16"/>
  <c r="V16"/>
  <c r="S16"/>
  <c r="AH15"/>
  <c r="Z15"/>
  <c r="AA15" s="1"/>
  <c r="X15"/>
  <c r="Y15" s="1"/>
  <c r="W15"/>
  <c r="V15"/>
  <c r="S15"/>
  <c r="AH14"/>
  <c r="Z14"/>
  <c r="V14"/>
  <c r="S14"/>
  <c r="AH13"/>
  <c r="AA13"/>
  <c r="Z13"/>
  <c r="Y13"/>
  <c r="AB13" s="1"/>
  <c r="X13"/>
  <c r="W13"/>
  <c r="AC13" s="1"/>
  <c r="V13"/>
  <c r="S13"/>
  <c r="AH12"/>
  <c r="Z12"/>
  <c r="V12"/>
  <c r="S12"/>
  <c r="AH11"/>
  <c r="Z11"/>
  <c r="AA11" s="1"/>
  <c r="X11"/>
  <c r="Y11" s="1"/>
  <c r="W11"/>
  <c r="V11"/>
  <c r="S11"/>
  <c r="AH10"/>
  <c r="Z10"/>
  <c r="V10"/>
  <c r="S10"/>
  <c r="AH9"/>
  <c r="AA9"/>
  <c r="Z9"/>
  <c r="Y9"/>
  <c r="AB9" s="1"/>
  <c r="X9"/>
  <c r="W9"/>
  <c r="AC9" s="1"/>
  <c r="V9"/>
  <c r="S9"/>
  <c r="AH8"/>
  <c r="Z8"/>
  <c r="V8"/>
  <c r="S8"/>
  <c r="AH7"/>
  <c r="Z7"/>
  <c r="AA7" s="1"/>
  <c r="W7"/>
  <c r="V7"/>
  <c r="S7"/>
  <c r="AH6"/>
  <c r="Z6"/>
  <c r="V6"/>
  <c r="AA6" s="1"/>
  <c r="S6"/>
  <c r="AH5"/>
  <c r="AH74" s="1"/>
  <c r="W5"/>
  <c r="V5"/>
  <c r="S5"/>
  <c r="S74" s="1"/>
  <c r="D4"/>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101" i="11"/>
  <c r="C96"/>
  <c r="AM92"/>
  <c r="AE92"/>
  <c r="AE96" s="1"/>
  <c r="P92"/>
  <c r="N92"/>
  <c r="B92"/>
  <c r="C129" i="19" s="1"/>
  <c r="C130" s="1"/>
  <c r="AG91" i="11"/>
  <c r="AG92" s="1"/>
  <c r="U91"/>
  <c r="R91"/>
  <c r="R92" s="1"/>
  <c r="D90"/>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C90"/>
  <c r="C83"/>
  <c r="AO79"/>
  <c r="AG79"/>
  <c r="AG83" s="1"/>
  <c r="P79"/>
  <c r="N79"/>
  <c r="B79"/>
  <c r="C125" i="19" s="1"/>
  <c r="C127" s="1"/>
  <c r="AA78" i="11"/>
  <c r="Y78"/>
  <c r="Z78" s="1"/>
  <c r="W78"/>
  <c r="AB78" s="1"/>
  <c r="AI77"/>
  <c r="AI79" s="1"/>
  <c r="W77"/>
  <c r="R77"/>
  <c r="R79" s="1"/>
  <c r="E77"/>
  <c r="D76"/>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C76"/>
  <c r="C69"/>
  <c r="B69"/>
  <c r="AM65"/>
  <c r="AE65"/>
  <c r="AE69" s="1"/>
  <c r="P65"/>
  <c r="N65"/>
  <c r="B65"/>
  <c r="C121" i="19" s="1"/>
  <c r="C123" s="1"/>
  <c r="Y64" i="11"/>
  <c r="U64"/>
  <c r="Z64" s="1"/>
  <c r="Y63"/>
  <c r="V63"/>
  <c r="U63"/>
  <c r="Z63" s="1"/>
  <c r="Y62"/>
  <c r="U62"/>
  <c r="Y61"/>
  <c r="W61"/>
  <c r="X61" s="1"/>
  <c r="U61"/>
  <c r="Z61" s="1"/>
  <c r="AG60"/>
  <c r="AG65" s="1"/>
  <c r="U60"/>
  <c r="V60" s="1"/>
  <c r="V65" s="1"/>
  <c r="R60"/>
  <c r="R65" s="1"/>
  <c r="E60"/>
  <c r="F60" s="1"/>
  <c r="C59"/>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C51"/>
  <c r="AM47"/>
  <c r="AE47"/>
  <c r="AE51" s="1"/>
  <c r="N47"/>
  <c r="B47"/>
  <c r="B51" s="1"/>
  <c r="AG46"/>
  <c r="AG47" s="1"/>
  <c r="Y46"/>
  <c r="W46"/>
  <c r="X46" s="1"/>
  <c r="U46"/>
  <c r="Z46" s="1"/>
  <c r="R46"/>
  <c r="Y45"/>
  <c r="W45"/>
  <c r="U45"/>
  <c r="V45" s="1"/>
  <c r="Y44"/>
  <c r="W44"/>
  <c r="X44" s="1"/>
  <c r="AA44" s="1"/>
  <c r="U44"/>
  <c r="Z44" s="1"/>
  <c r="Y43"/>
  <c r="W43"/>
  <c r="X43" s="1"/>
  <c r="U43"/>
  <c r="Z43" s="1"/>
  <c r="AG42"/>
  <c r="Y42"/>
  <c r="U42"/>
  <c r="R42"/>
  <c r="AG41"/>
  <c r="V41"/>
  <c r="U41"/>
  <c r="R41"/>
  <c r="R47" s="1"/>
  <c r="P41"/>
  <c r="P47" s="1"/>
  <c r="E41"/>
  <c r="D40"/>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C40"/>
  <c r="C32"/>
  <c r="AM28"/>
  <c r="AE28"/>
  <c r="N28"/>
  <c r="B28"/>
  <c r="B32" s="1"/>
  <c r="AH27"/>
  <c r="AI27" s="1"/>
  <c r="Y27"/>
  <c r="R27"/>
  <c r="AG26"/>
  <c r="Y26"/>
  <c r="U26"/>
  <c r="R26"/>
  <c r="AG25"/>
  <c r="Y25"/>
  <c r="U25"/>
  <c r="R25"/>
  <c r="AG24"/>
  <c r="AG28" s="1"/>
  <c r="U24"/>
  <c r="R24"/>
  <c r="P24"/>
  <c r="P28" s="1"/>
  <c r="C23"/>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C15"/>
  <c r="AM11"/>
  <c r="U11"/>
  <c r="N11"/>
  <c r="B11"/>
  <c r="B15" s="1"/>
  <c r="AG10"/>
  <c r="Z10"/>
  <c r="Y10"/>
  <c r="V10"/>
  <c r="U10"/>
  <c r="R10"/>
  <c r="AG9"/>
  <c r="Y9"/>
  <c r="U9"/>
  <c r="V9" s="1"/>
  <c r="R9"/>
  <c r="AG8"/>
  <c r="Y8"/>
  <c r="V8"/>
  <c r="U8"/>
  <c r="R8"/>
  <c r="Y7"/>
  <c r="V7"/>
  <c r="U7"/>
  <c r="Z7" s="1"/>
  <c r="AG6"/>
  <c r="AG11" s="1"/>
  <c r="U6"/>
  <c r="R6"/>
  <c r="R11" s="1"/>
  <c r="P6"/>
  <c r="P11" s="1"/>
  <c r="E6"/>
  <c r="F6" s="1"/>
  <c r="E5"/>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C5"/>
  <c r="D5" s="1"/>
  <c r="AK51" i="10"/>
  <c r="AJ51"/>
  <c r="AI51"/>
  <c r="AH51"/>
  <c r="AG51"/>
  <c r="AF54" s="1"/>
  <c r="AF51"/>
  <c r="AF53" s="1"/>
  <c r="O51"/>
  <c r="N51"/>
  <c r="M51"/>
  <c r="L51"/>
  <c r="K51"/>
  <c r="J54" s="1"/>
  <c r="J51"/>
  <c r="J53" s="1"/>
  <c r="AL35"/>
  <c r="AB35"/>
  <c r="Y35"/>
  <c r="X35"/>
  <c r="U35"/>
  <c r="S35"/>
  <c r="G35"/>
  <c r="C35"/>
  <c r="C134" i="19" s="1"/>
  <c r="S33" i="10"/>
  <c r="S36" s="1"/>
  <c r="C33"/>
  <c r="C51" i="19" s="1"/>
  <c r="Q30" i="10"/>
  <c r="AL29"/>
  <c r="AJ30" s="1"/>
  <c r="X29"/>
  <c r="U29"/>
  <c r="S29"/>
  <c r="G29"/>
  <c r="C29"/>
  <c r="C202" i="19" s="1"/>
  <c r="C203" s="1"/>
  <c r="AL28" i="10"/>
  <c r="AL30" s="1"/>
  <c r="AB28"/>
  <c r="X28"/>
  <c r="U28"/>
  <c r="S28"/>
  <c r="S30" s="1"/>
  <c r="C28"/>
  <c r="S26"/>
  <c r="C26"/>
  <c r="AL23"/>
  <c r="X23"/>
  <c r="U23"/>
  <c r="S23"/>
  <c r="G23"/>
  <c r="C23"/>
  <c r="C199" i="19" s="1"/>
  <c r="C200" s="1"/>
  <c r="S21" i="10"/>
  <c r="S24" s="1"/>
  <c r="C21"/>
  <c r="C44" i="19" s="1"/>
  <c r="E44" s="1"/>
  <c r="AL17" i="10"/>
  <c r="AB17"/>
  <c r="AC17" s="1"/>
  <c r="X17"/>
  <c r="U17"/>
  <c r="S17"/>
  <c r="C17"/>
  <c r="Y17" s="1"/>
  <c r="AE16"/>
  <c r="L16"/>
  <c r="AL15"/>
  <c r="AB15"/>
  <c r="Z15"/>
  <c r="X15"/>
  <c r="U15"/>
  <c r="S15"/>
  <c r="Q15"/>
  <c r="Q18" s="1"/>
  <c r="Q38" s="1"/>
  <c r="G15"/>
  <c r="C15"/>
  <c r="AL14"/>
  <c r="AB14"/>
  <c r="X14"/>
  <c r="U14"/>
  <c r="S14"/>
  <c r="C14"/>
  <c r="C195" i="19" s="1"/>
  <c r="AL13" i="10"/>
  <c r="AB13"/>
  <c r="X13"/>
  <c r="U13"/>
  <c r="S13"/>
  <c r="C13"/>
  <c r="AL12"/>
  <c r="AB12"/>
  <c r="X12"/>
  <c r="U12"/>
  <c r="S12"/>
  <c r="C12"/>
  <c r="Y12" s="1"/>
  <c r="AL11"/>
  <c r="AJ18" s="1"/>
  <c r="AB11"/>
  <c r="X11"/>
  <c r="U11"/>
  <c r="S11"/>
  <c r="C11"/>
  <c r="AL10"/>
  <c r="AL18" s="1"/>
  <c r="AL38" s="1"/>
  <c r="AL44" s="1"/>
  <c r="X10"/>
  <c r="U10"/>
  <c r="U18" s="1"/>
  <c r="S10"/>
  <c r="G10"/>
  <c r="C10"/>
  <c r="C191" i="19" s="1"/>
  <c r="S7" i="10"/>
  <c r="C7"/>
  <c r="C22" i="19" s="1"/>
  <c r="D6" i="10"/>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O61" i="9"/>
  <c r="G61"/>
  <c r="O60"/>
  <c r="G60"/>
  <c r="O59"/>
  <c r="G59"/>
  <c r="O58"/>
  <c r="G58"/>
  <c r="O57"/>
  <c r="G57"/>
  <c r="O56"/>
  <c r="G56"/>
  <c r="O55"/>
  <c r="C55"/>
  <c r="C188" i="19" s="1"/>
  <c r="O54" i="9"/>
  <c r="C54"/>
  <c r="C186" i="19" s="1"/>
  <c r="O53" i="9"/>
  <c r="C53"/>
  <c r="C185" i="19" s="1"/>
  <c r="O52" i="9"/>
  <c r="C52"/>
  <c r="C184" i="19" s="1"/>
  <c r="O51" i="9"/>
  <c r="C51"/>
  <c r="C183" i="19" s="1"/>
  <c r="O50" i="9"/>
  <c r="C50"/>
  <c r="C182" i="19" s="1"/>
  <c r="O49" i="9"/>
  <c r="C49"/>
  <c r="C181" i="19" s="1"/>
  <c r="O48" i="9"/>
  <c r="C48"/>
  <c r="C180" i="19" s="1"/>
  <c r="O47" i="9"/>
  <c r="C47"/>
  <c r="C179" i="19" s="1"/>
  <c r="O46" i="9"/>
  <c r="C46"/>
  <c r="C178" i="19" s="1"/>
  <c r="O45" i="9"/>
  <c r="C45"/>
  <c r="C177" i="19" s="1"/>
  <c r="O44" i="9"/>
  <c r="C44"/>
  <c r="C176" i="19" s="1"/>
  <c r="O43" i="9"/>
  <c r="C43"/>
  <c r="C175" i="19" s="1"/>
  <c r="O42" i="9"/>
  <c r="C42"/>
  <c r="C174" i="19" s="1"/>
  <c r="O41" i="9"/>
  <c r="C41"/>
  <c r="C173" i="19" s="1"/>
  <c r="O40" i="9"/>
  <c r="C40"/>
  <c r="C172" i="19" s="1"/>
  <c r="O39" i="9"/>
  <c r="M39"/>
  <c r="G39"/>
  <c r="C39"/>
  <c r="C171" i="19" s="1"/>
  <c r="O38" i="9"/>
  <c r="G38"/>
  <c r="C38"/>
  <c r="C170" i="19" s="1"/>
  <c r="O37" i="9"/>
  <c r="G37"/>
  <c r="C37"/>
  <c r="C169" i="19" s="1"/>
  <c r="O36" i="9"/>
  <c r="G36"/>
  <c r="C36"/>
  <c r="C168" i="19" s="1"/>
  <c r="O35" i="9"/>
  <c r="G35"/>
  <c r="C35"/>
  <c r="C167" i="19" s="1"/>
  <c r="O34" i="9"/>
  <c r="G34"/>
  <c r="C34"/>
  <c r="C166" i="19" s="1"/>
  <c r="O33" i="9"/>
  <c r="G33"/>
  <c r="C33"/>
  <c r="O32"/>
  <c r="G32"/>
  <c r="C32"/>
  <c r="C165" i="19" s="1"/>
  <c r="O31" i="9"/>
  <c r="G31"/>
  <c r="C31"/>
  <c r="C164" i="19" s="1"/>
  <c r="O30" i="9"/>
  <c r="G30"/>
  <c r="C30"/>
  <c r="C163" i="19" s="1"/>
  <c r="O29" i="9"/>
  <c r="G29"/>
  <c r="C29"/>
  <c r="C162" i="19" s="1"/>
  <c r="O28" i="9"/>
  <c r="M28"/>
  <c r="M62" s="1"/>
  <c r="M63" s="1"/>
  <c r="C28"/>
  <c r="C161" i="19" s="1"/>
  <c r="O27" i="9"/>
  <c r="C27"/>
  <c r="C160" i="19" s="1"/>
  <c r="O26" i="9"/>
  <c r="C26"/>
  <c r="C159" i="19" s="1"/>
  <c r="O25" i="9"/>
  <c r="C25"/>
  <c r="C158" i="19" s="1"/>
  <c r="O24" i="9"/>
  <c r="C24"/>
  <c r="C157" i="19" s="1"/>
  <c r="O23" i="9"/>
  <c r="C23"/>
  <c r="C156" i="19" s="1"/>
  <c r="O22" i="9"/>
  <c r="C22"/>
  <c r="C155" i="19" s="1"/>
  <c r="O21" i="9"/>
  <c r="C21"/>
  <c r="C154" i="19" s="1"/>
  <c r="O20" i="9"/>
  <c r="C20"/>
  <c r="C153" i="19" s="1"/>
  <c r="O19" i="9"/>
  <c r="C19"/>
  <c r="C149" i="19" s="1"/>
  <c r="O18" i="9"/>
  <c r="C18"/>
  <c r="C148" i="19" s="1"/>
  <c r="O17" i="9"/>
  <c r="C17"/>
  <c r="C147" i="19" s="1"/>
  <c r="O16" i="9"/>
  <c r="C16"/>
  <c r="C146" i="19" s="1"/>
  <c r="O15" i="9"/>
  <c r="C15"/>
  <c r="C145" i="19" s="1"/>
  <c r="O14" i="9"/>
  <c r="C14"/>
  <c r="C142" i="19" s="1"/>
  <c r="O13" i="9"/>
  <c r="C13"/>
  <c r="C141" i="19" s="1"/>
  <c r="O12" i="9"/>
  <c r="C12"/>
  <c r="C140" i="19" s="1"/>
  <c r="O11" i="9"/>
  <c r="O62" s="1"/>
  <c r="C11"/>
  <c r="O8"/>
  <c r="C8"/>
  <c r="C132" i="19" s="1"/>
  <c r="O6" i="9"/>
  <c r="C6"/>
  <c r="C41" i="19" s="1"/>
  <c r="D5" i="9"/>
  <c r="E5" s="1"/>
  <c r="F5" s="1"/>
  <c r="G5" s="1"/>
  <c r="H5" s="1"/>
  <c r="M5" s="1"/>
  <c r="P21" i="8"/>
  <c r="N21"/>
  <c r="H21"/>
  <c r="B21"/>
  <c r="P20"/>
  <c r="P19"/>
  <c r="C17"/>
  <c r="D17" s="1"/>
  <c r="E17" s="1"/>
  <c r="F17" s="1"/>
  <c r="G17" s="1"/>
  <c r="H17" s="1"/>
  <c r="I17" s="1"/>
  <c r="J17" s="1"/>
  <c r="K17" s="1"/>
  <c r="L17" s="1"/>
  <c r="M17" s="1"/>
  <c r="N17" s="1"/>
  <c r="O17" s="1"/>
  <c r="P17" s="1"/>
  <c r="Q17" s="1"/>
  <c r="R17" s="1"/>
  <c r="H10"/>
  <c r="P9"/>
  <c r="N9"/>
  <c r="E9"/>
  <c r="B9"/>
  <c r="C78" i="19" s="1"/>
  <c r="E78" s="1"/>
  <c r="P8" i="8"/>
  <c r="P10" s="1"/>
  <c r="N8"/>
  <c r="N10" s="1"/>
  <c r="E8"/>
  <c r="B8"/>
  <c r="C77" i="19" s="1"/>
  <c r="C79" s="1"/>
  <c r="D7" i="8"/>
  <c r="E7" s="1"/>
  <c r="F7" s="1"/>
  <c r="G7" s="1"/>
  <c r="H7" s="1"/>
  <c r="I7" s="1"/>
  <c r="J7" s="1"/>
  <c r="K7" s="1"/>
  <c r="L7" s="1"/>
  <c r="M7" s="1"/>
  <c r="N7" s="1"/>
  <c r="O7" s="1"/>
  <c r="P7" s="1"/>
  <c r="Q7" s="1"/>
  <c r="R7" s="1"/>
  <c r="C7"/>
  <c r="E76" i="7"/>
  <c r="C76"/>
  <c r="F75"/>
  <c r="D75"/>
  <c r="D76" s="1"/>
  <c r="F74"/>
  <c r="F76" s="1"/>
  <c r="D74"/>
  <c r="G74" s="1"/>
  <c r="V12" i="14" s="1"/>
  <c r="V18" s="1"/>
  <c r="V22" s="1"/>
  <c r="E73" i="7"/>
  <c r="E77" s="1"/>
  <c r="C73"/>
  <c r="C77" s="1"/>
  <c r="F72"/>
  <c r="D72"/>
  <c r="G72" s="1"/>
  <c r="T75" i="2" s="1"/>
  <c r="F71" i="7"/>
  <c r="D71"/>
  <c r="G71" s="1"/>
  <c r="T74" i="2" s="1"/>
  <c r="F70" i="7"/>
  <c r="D70"/>
  <c r="G70" s="1"/>
  <c r="T73" i="2" s="1"/>
  <c r="F69" i="7"/>
  <c r="D69"/>
  <c r="G69" s="1"/>
  <c r="T72" i="2" s="1"/>
  <c r="F68" i="7"/>
  <c r="D68"/>
  <c r="G68" s="1"/>
  <c r="T71" i="2" s="1"/>
  <c r="F67" i="7"/>
  <c r="D67"/>
  <c r="G67" s="1"/>
  <c r="T70" i="2" s="1"/>
  <c r="F66" i="7"/>
  <c r="D66"/>
  <c r="G66" s="1"/>
  <c r="T69" i="2" s="1"/>
  <c r="F65" i="7"/>
  <c r="D65"/>
  <c r="G65" s="1"/>
  <c r="T68" i="2" s="1"/>
  <c r="F64" i="7"/>
  <c r="D64"/>
  <c r="G64" s="1"/>
  <c r="T67" i="2" s="1"/>
  <c r="F63" i="7"/>
  <c r="D63"/>
  <c r="G63" s="1"/>
  <c r="T66" i="2" s="1"/>
  <c r="F62" i="7"/>
  <c r="D62"/>
  <c r="G62" s="1"/>
  <c r="T65" i="2" s="1"/>
  <c r="F61" i="7"/>
  <c r="D61"/>
  <c r="G61" s="1"/>
  <c r="T64" i="2" s="1"/>
  <c r="F60" i="7"/>
  <c r="D60"/>
  <c r="G60" s="1"/>
  <c r="T63" i="2" s="1"/>
  <c r="F59" i="7"/>
  <c r="D59"/>
  <c r="G59" s="1"/>
  <c r="T62" i="2" s="1"/>
  <c r="F58" i="7"/>
  <c r="D58"/>
  <c r="G58" s="1"/>
  <c r="T61" i="2" s="1"/>
  <c r="F57" i="7"/>
  <c r="D57"/>
  <c r="G57" s="1"/>
  <c r="T60" i="2" s="1"/>
  <c r="F56" i="7"/>
  <c r="D56"/>
  <c r="G56" s="1"/>
  <c r="T59" i="2" s="1"/>
  <c r="F55" i="7"/>
  <c r="D55"/>
  <c r="G55" s="1"/>
  <c r="T58" i="2" s="1"/>
  <c r="F54" i="7"/>
  <c r="D54"/>
  <c r="G54" s="1"/>
  <c r="T57" i="2" s="1"/>
  <c r="F53" i="7"/>
  <c r="D53"/>
  <c r="G53" s="1"/>
  <c r="T56" i="2" s="1"/>
  <c r="F52" i="7"/>
  <c r="D52"/>
  <c r="G52" s="1"/>
  <c r="T55" i="2" s="1"/>
  <c r="F51" i="7"/>
  <c r="D51"/>
  <c r="G51" s="1"/>
  <c r="T54" i="2" s="1"/>
  <c r="F50" i="7"/>
  <c r="D50"/>
  <c r="G50" s="1"/>
  <c r="T53" i="2" s="1"/>
  <c r="F49" i="7"/>
  <c r="D49"/>
  <c r="G49" s="1"/>
  <c r="T52" i="2" s="1"/>
  <c r="F48" i="7"/>
  <c r="D48"/>
  <c r="G48" s="1"/>
  <c r="T51" i="2" s="1"/>
  <c r="F47" i="7"/>
  <c r="D47"/>
  <c r="G47" s="1"/>
  <c r="T50" i="2" s="1"/>
  <c r="F46" i="7"/>
  <c r="D46"/>
  <c r="G46" s="1"/>
  <c r="T49" i="2" s="1"/>
  <c r="F45" i="7"/>
  <c r="D45"/>
  <c r="G45" s="1"/>
  <c r="T48" i="2" s="1"/>
  <c r="F44" i="7"/>
  <c r="D44"/>
  <c r="G44" s="1"/>
  <c r="T47" i="2" s="1"/>
  <c r="F43" i="7"/>
  <c r="D43"/>
  <c r="G43" s="1"/>
  <c r="T46" i="2" s="1"/>
  <c r="F42" i="7"/>
  <c r="D42"/>
  <c r="G42" s="1"/>
  <c r="T45" i="2" s="1"/>
  <c r="F41" i="7"/>
  <c r="D41"/>
  <c r="G41" s="1"/>
  <c r="T44" i="2" s="1"/>
  <c r="F40" i="7"/>
  <c r="D40"/>
  <c r="G40" s="1"/>
  <c r="T43" i="2" s="1"/>
  <c r="F39" i="7"/>
  <c r="D39"/>
  <c r="G39" s="1"/>
  <c r="T42" i="2" s="1"/>
  <c r="F38" i="7"/>
  <c r="D38"/>
  <c r="G38" s="1"/>
  <c r="T41" i="2" s="1"/>
  <c r="F37" i="7"/>
  <c r="D37"/>
  <c r="G37" s="1"/>
  <c r="T40" i="2" s="1"/>
  <c r="F36" i="7"/>
  <c r="D36"/>
  <c r="G36" s="1"/>
  <c r="T39" i="2" s="1"/>
  <c r="F35" i="7"/>
  <c r="D35"/>
  <c r="G35" s="1"/>
  <c r="T38" i="2" s="1"/>
  <c r="F34" i="7"/>
  <c r="D34"/>
  <c r="G34" s="1"/>
  <c r="T37" i="2" s="1"/>
  <c r="F33" i="7"/>
  <c r="D33"/>
  <c r="G33" s="1"/>
  <c r="T36" i="2" s="1"/>
  <c r="F32" i="7"/>
  <c r="D32"/>
  <c r="G32" s="1"/>
  <c r="T35" i="2" s="1"/>
  <c r="F31" i="7"/>
  <c r="D31"/>
  <c r="G31" s="1"/>
  <c r="T34" i="2" s="1"/>
  <c r="F30" i="7"/>
  <c r="D30"/>
  <c r="G30" s="1"/>
  <c r="T33" i="2" s="1"/>
  <c r="F29" i="7"/>
  <c r="D29"/>
  <c r="G29" s="1"/>
  <c r="T32" i="2" s="1"/>
  <c r="F28" i="7"/>
  <c r="D28"/>
  <c r="G28" s="1"/>
  <c r="T31" i="2" s="1"/>
  <c r="F27" i="7"/>
  <c r="D27"/>
  <c r="G27" s="1"/>
  <c r="T30" i="2" s="1"/>
  <c r="F26" i="7"/>
  <c r="D26"/>
  <c r="G26" s="1"/>
  <c r="T29" i="2" s="1"/>
  <c r="F25" i="7"/>
  <c r="D25"/>
  <c r="G25" s="1"/>
  <c r="T28" i="2" s="1"/>
  <c r="F24" i="7"/>
  <c r="D24"/>
  <c r="G24" s="1"/>
  <c r="T27" i="2" s="1"/>
  <c r="F23" i="7"/>
  <c r="D23"/>
  <c r="G23" s="1"/>
  <c r="T26" i="2" s="1"/>
  <c r="F22" i="7"/>
  <c r="D22"/>
  <c r="G22" s="1"/>
  <c r="T25" i="2" s="1"/>
  <c r="F21" i="7"/>
  <c r="D21"/>
  <c r="G21" s="1"/>
  <c r="T24" i="2" s="1"/>
  <c r="F20" i="7"/>
  <c r="D20"/>
  <c r="G20" s="1"/>
  <c r="T23" i="2" s="1"/>
  <c r="F19" i="7"/>
  <c r="D19"/>
  <c r="G19" s="1"/>
  <c r="T22" i="2" s="1"/>
  <c r="F18" i="7"/>
  <c r="D18"/>
  <c r="G18" s="1"/>
  <c r="T21" i="2" s="1"/>
  <c r="F17" i="7"/>
  <c r="D17"/>
  <c r="G17" s="1"/>
  <c r="T20" i="2" s="1"/>
  <c r="F16" i="7"/>
  <c r="D16"/>
  <c r="G16" s="1"/>
  <c r="T19" i="2" s="1"/>
  <c r="F15" i="7"/>
  <c r="D15"/>
  <c r="G15" s="1"/>
  <c r="T18" i="2" s="1"/>
  <c r="F14" i="7"/>
  <c r="D14"/>
  <c r="G14" s="1"/>
  <c r="T17" i="2" s="1"/>
  <c r="F13" i="7"/>
  <c r="D13"/>
  <c r="G13" s="1"/>
  <c r="T16" i="2" s="1"/>
  <c r="F12" i="7"/>
  <c r="D12"/>
  <c r="G12" s="1"/>
  <c r="T15" i="2" s="1"/>
  <c r="F11" i="7"/>
  <c r="D11"/>
  <c r="G11" s="1"/>
  <c r="T14" i="2" s="1"/>
  <c r="F10" i="7"/>
  <c r="D10"/>
  <c r="G10" s="1"/>
  <c r="T13" i="2" s="1"/>
  <c r="F9" i="7"/>
  <c r="D9"/>
  <c r="G9" s="1"/>
  <c r="T12" i="2" s="1"/>
  <c r="F8" i="7"/>
  <c r="D8"/>
  <c r="G8" s="1"/>
  <c r="T11" i="2" s="1"/>
  <c r="F7" i="7"/>
  <c r="D7"/>
  <c r="G7" s="1"/>
  <c r="T10" i="2" s="1"/>
  <c r="F6" i="7"/>
  <c r="D6"/>
  <c r="G6" s="1"/>
  <c r="T9" i="2" s="1"/>
  <c r="F5" i="7"/>
  <c r="D5"/>
  <c r="G5" s="1"/>
  <c r="T8" i="2" s="1"/>
  <c r="F4" i="7"/>
  <c r="F73" s="1"/>
  <c r="F77" s="1"/>
  <c r="D4"/>
  <c r="D73" s="1"/>
  <c r="D77" s="1"/>
  <c r="G77" s="1"/>
  <c r="E63" i="1" s="1"/>
  <c r="C3" i="7"/>
  <c r="D3" s="1"/>
  <c r="E3" s="1"/>
  <c r="F3" s="1"/>
  <c r="G3" s="1"/>
  <c r="K75" i="6"/>
  <c r="D75"/>
  <c r="C75"/>
  <c r="P74"/>
  <c r="L74"/>
  <c r="F74"/>
  <c r="E74"/>
  <c r="P73"/>
  <c r="L73"/>
  <c r="F73"/>
  <c r="E73"/>
  <c r="G73" s="1"/>
  <c r="H73" s="1"/>
  <c r="P72"/>
  <c r="L72"/>
  <c r="F72"/>
  <c r="E72"/>
  <c r="P71"/>
  <c r="L71"/>
  <c r="F71"/>
  <c r="E71"/>
  <c r="G71" s="1"/>
  <c r="H71" s="1"/>
  <c r="P70"/>
  <c r="L70"/>
  <c r="F70"/>
  <c r="E70"/>
  <c r="P69"/>
  <c r="L69"/>
  <c r="F69"/>
  <c r="E69"/>
  <c r="G69" s="1"/>
  <c r="H69" s="1"/>
  <c r="P68"/>
  <c r="L68"/>
  <c r="I68"/>
  <c r="F68"/>
  <c r="E68"/>
  <c r="P67"/>
  <c r="L67"/>
  <c r="F67"/>
  <c r="E67"/>
  <c r="G67" s="1"/>
  <c r="H67" s="1"/>
  <c r="P66"/>
  <c r="L66"/>
  <c r="F66"/>
  <c r="E66"/>
  <c r="P65"/>
  <c r="L65"/>
  <c r="F65"/>
  <c r="E65"/>
  <c r="G65" s="1"/>
  <c r="H65" s="1"/>
  <c r="P64"/>
  <c r="L64"/>
  <c r="F64"/>
  <c r="E64"/>
  <c r="P63"/>
  <c r="L63"/>
  <c r="F63"/>
  <c r="E63"/>
  <c r="G63" s="1"/>
  <c r="H63" s="1"/>
  <c r="P62"/>
  <c r="L62"/>
  <c r="F62"/>
  <c r="E62"/>
  <c r="P61"/>
  <c r="L61"/>
  <c r="F61"/>
  <c r="E61"/>
  <c r="G61" s="1"/>
  <c r="H61" s="1"/>
  <c r="P60"/>
  <c r="L60"/>
  <c r="F60"/>
  <c r="E60"/>
  <c r="P59"/>
  <c r="L59"/>
  <c r="F59"/>
  <c r="E59"/>
  <c r="G59" s="1"/>
  <c r="H59" s="1"/>
  <c r="P58"/>
  <c r="L58"/>
  <c r="F58"/>
  <c r="E58"/>
  <c r="P57"/>
  <c r="L57"/>
  <c r="F57"/>
  <c r="E57"/>
  <c r="G57" s="1"/>
  <c r="H57" s="1"/>
  <c r="P56"/>
  <c r="L56"/>
  <c r="F56"/>
  <c r="E56"/>
  <c r="P55"/>
  <c r="L55"/>
  <c r="F55"/>
  <c r="E55"/>
  <c r="G55" s="1"/>
  <c r="H55" s="1"/>
  <c r="P54"/>
  <c r="L54"/>
  <c r="F54"/>
  <c r="E54"/>
  <c r="P53"/>
  <c r="L53"/>
  <c r="F53"/>
  <c r="E53"/>
  <c r="G53" s="1"/>
  <c r="H53" s="1"/>
  <c r="P52"/>
  <c r="L52"/>
  <c r="I52"/>
  <c r="F52"/>
  <c r="E52"/>
  <c r="Q51"/>
  <c r="P51"/>
  <c r="L51"/>
  <c r="F51"/>
  <c r="E51"/>
  <c r="G51" s="1"/>
  <c r="H51" s="1"/>
  <c r="P50"/>
  <c r="L50"/>
  <c r="I50"/>
  <c r="F50"/>
  <c r="E50"/>
  <c r="P49"/>
  <c r="L49"/>
  <c r="F49"/>
  <c r="E49"/>
  <c r="G49" s="1"/>
  <c r="H49" s="1"/>
  <c r="P48"/>
  <c r="L48"/>
  <c r="F48"/>
  <c r="E48"/>
  <c r="P47"/>
  <c r="L47"/>
  <c r="F47"/>
  <c r="E47"/>
  <c r="G47" s="1"/>
  <c r="H47" s="1"/>
  <c r="P46"/>
  <c r="L46"/>
  <c r="F46"/>
  <c r="E46"/>
  <c r="P45"/>
  <c r="L45"/>
  <c r="F45"/>
  <c r="E45"/>
  <c r="G45" s="1"/>
  <c r="H45" s="1"/>
  <c r="Q44"/>
  <c r="L44"/>
  <c r="F44"/>
  <c r="E44"/>
  <c r="G44" s="1"/>
  <c r="H44" s="1"/>
  <c r="P43"/>
  <c r="L43"/>
  <c r="I43"/>
  <c r="F43"/>
  <c r="E43"/>
  <c r="P42"/>
  <c r="L42"/>
  <c r="F42"/>
  <c r="E42"/>
  <c r="G42" s="1"/>
  <c r="H42" s="1"/>
  <c r="L41"/>
  <c r="F41"/>
  <c r="E41"/>
  <c r="G41" s="1"/>
  <c r="H41" s="1"/>
  <c r="P40"/>
  <c r="L40"/>
  <c r="F40"/>
  <c r="E40"/>
  <c r="P39"/>
  <c r="L39"/>
  <c r="F39"/>
  <c r="E39"/>
  <c r="G39" s="1"/>
  <c r="H39" s="1"/>
  <c r="P38"/>
  <c r="L38"/>
  <c r="F38"/>
  <c r="E38"/>
  <c r="P37"/>
  <c r="L37"/>
  <c r="F37"/>
  <c r="E37"/>
  <c r="G37" s="1"/>
  <c r="H37" s="1"/>
  <c r="P36"/>
  <c r="L36"/>
  <c r="F36"/>
  <c r="E36"/>
  <c r="P35"/>
  <c r="L35"/>
  <c r="F35"/>
  <c r="E35"/>
  <c r="G35" s="1"/>
  <c r="H35" s="1"/>
  <c r="P34"/>
  <c r="L34"/>
  <c r="F34"/>
  <c r="E34"/>
  <c r="P33"/>
  <c r="L33"/>
  <c r="F33"/>
  <c r="E33"/>
  <c r="G33" s="1"/>
  <c r="H33" s="1"/>
  <c r="P32"/>
  <c r="L32"/>
  <c r="F32"/>
  <c r="E32"/>
  <c r="P31"/>
  <c r="L31"/>
  <c r="F31"/>
  <c r="I31" s="1"/>
  <c r="E31"/>
  <c r="G31" s="1"/>
  <c r="H31" s="1"/>
  <c r="P30"/>
  <c r="L30"/>
  <c r="F30"/>
  <c r="E30"/>
  <c r="P29"/>
  <c r="L29"/>
  <c r="F29"/>
  <c r="I29" s="1"/>
  <c r="E29"/>
  <c r="G29" s="1"/>
  <c r="H29" s="1"/>
  <c r="P28"/>
  <c r="L28"/>
  <c r="F28"/>
  <c r="E28"/>
  <c r="P27"/>
  <c r="L27"/>
  <c r="F27"/>
  <c r="E27"/>
  <c r="G27" s="1"/>
  <c r="H27" s="1"/>
  <c r="P26"/>
  <c r="L26"/>
  <c r="F26"/>
  <c r="E26"/>
  <c r="P25"/>
  <c r="L25"/>
  <c r="F25"/>
  <c r="I25" s="1"/>
  <c r="E25"/>
  <c r="G25" s="1"/>
  <c r="H25" s="1"/>
  <c r="P24"/>
  <c r="L24"/>
  <c r="F24"/>
  <c r="E24"/>
  <c r="P23"/>
  <c r="L23"/>
  <c r="F23"/>
  <c r="E23"/>
  <c r="G23" s="1"/>
  <c r="H23" s="1"/>
  <c r="L22"/>
  <c r="F22"/>
  <c r="I22" s="1"/>
  <c r="E22"/>
  <c r="G22" s="1"/>
  <c r="H22" s="1"/>
  <c r="P21"/>
  <c r="L21"/>
  <c r="F21"/>
  <c r="E21"/>
  <c r="P20"/>
  <c r="L20"/>
  <c r="F20"/>
  <c r="I20" s="1"/>
  <c r="E20"/>
  <c r="G20" s="1"/>
  <c r="H20" s="1"/>
  <c r="P19"/>
  <c r="L19"/>
  <c r="F19"/>
  <c r="E19"/>
  <c r="P18"/>
  <c r="L18"/>
  <c r="F18"/>
  <c r="E18"/>
  <c r="G18" s="1"/>
  <c r="H18" s="1"/>
  <c r="P17"/>
  <c r="L17"/>
  <c r="F17"/>
  <c r="E17"/>
  <c r="P16"/>
  <c r="L16"/>
  <c r="F16"/>
  <c r="E16"/>
  <c r="G16" s="1"/>
  <c r="H16" s="1"/>
  <c r="P15"/>
  <c r="L15"/>
  <c r="F15"/>
  <c r="E15"/>
  <c r="P14"/>
  <c r="L14"/>
  <c r="F14"/>
  <c r="E14"/>
  <c r="G14" s="1"/>
  <c r="H14" s="1"/>
  <c r="P13"/>
  <c r="L13"/>
  <c r="F13"/>
  <c r="E13"/>
  <c r="P12"/>
  <c r="L12"/>
  <c r="F12"/>
  <c r="E12"/>
  <c r="G12" s="1"/>
  <c r="H12" s="1"/>
  <c r="P11"/>
  <c r="L11"/>
  <c r="F11"/>
  <c r="E11"/>
  <c r="P10"/>
  <c r="L10"/>
  <c r="F10"/>
  <c r="E10"/>
  <c r="G10" s="1"/>
  <c r="H10" s="1"/>
  <c r="P9"/>
  <c r="L9"/>
  <c r="F9"/>
  <c r="E9"/>
  <c r="P8"/>
  <c r="L8"/>
  <c r="F8"/>
  <c r="E8"/>
  <c r="G8" s="1"/>
  <c r="H8" s="1"/>
  <c r="P7"/>
  <c r="L7"/>
  <c r="F7"/>
  <c r="E7"/>
  <c r="P6"/>
  <c r="L6"/>
  <c r="L75" s="1"/>
  <c r="E41" i="1" s="1"/>
  <c r="F6" i="6"/>
  <c r="E6"/>
  <c r="E75" s="1"/>
  <c r="E45" i="1" s="1"/>
  <c r="D5" i="6"/>
  <c r="E5" s="1"/>
  <c r="F5" s="1"/>
  <c r="G5" s="1"/>
  <c r="H5" s="1"/>
  <c r="I5" s="1"/>
  <c r="J5" s="1"/>
  <c r="K5" s="1"/>
  <c r="L5" s="1"/>
  <c r="M5" s="1"/>
  <c r="N5" s="1"/>
  <c r="O5" s="1"/>
  <c r="P5" s="1"/>
  <c r="Q5" s="1"/>
  <c r="R5" s="1"/>
  <c r="AZ77" i="5"/>
  <c r="K76"/>
  <c r="I76"/>
  <c r="F76"/>
  <c r="G76" s="1"/>
  <c r="D76"/>
  <c r="C76"/>
  <c r="I74" i="6" s="1"/>
  <c r="K75" i="5"/>
  <c r="I75"/>
  <c r="F75"/>
  <c r="G75" s="1"/>
  <c r="D75"/>
  <c r="E75" s="1"/>
  <c r="C75"/>
  <c r="Q73" i="6" s="1"/>
  <c r="K74" i="5"/>
  <c r="I74"/>
  <c r="H74"/>
  <c r="G74"/>
  <c r="E74"/>
  <c r="C74"/>
  <c r="K73"/>
  <c r="I73"/>
  <c r="G73"/>
  <c r="E73"/>
  <c r="C73"/>
  <c r="K72"/>
  <c r="I72"/>
  <c r="G72"/>
  <c r="E72"/>
  <c r="C72"/>
  <c r="K71"/>
  <c r="I71"/>
  <c r="G71"/>
  <c r="E71"/>
  <c r="C71"/>
  <c r="K70"/>
  <c r="I70"/>
  <c r="G70"/>
  <c r="E70"/>
  <c r="C70"/>
  <c r="K69"/>
  <c r="I69"/>
  <c r="G69"/>
  <c r="E69"/>
  <c r="C69"/>
  <c r="K68"/>
  <c r="I68"/>
  <c r="G68"/>
  <c r="E68"/>
  <c r="C68"/>
  <c r="K67"/>
  <c r="I67"/>
  <c r="G67"/>
  <c r="E67"/>
  <c r="C67"/>
  <c r="K66"/>
  <c r="I66"/>
  <c r="G66"/>
  <c r="E66"/>
  <c r="C66"/>
  <c r="K65"/>
  <c r="I65"/>
  <c r="G65"/>
  <c r="E65"/>
  <c r="C65"/>
  <c r="K64"/>
  <c r="I64"/>
  <c r="G64"/>
  <c r="E64"/>
  <c r="C64"/>
  <c r="J63"/>
  <c r="K63" s="1"/>
  <c r="H63"/>
  <c r="I63" s="1"/>
  <c r="G63"/>
  <c r="D63"/>
  <c r="E63" s="1"/>
  <c r="C63"/>
  <c r="Q61" i="6" s="1"/>
  <c r="K62" i="5"/>
  <c r="I62"/>
  <c r="G62"/>
  <c r="E62"/>
  <c r="C62"/>
  <c r="I60" i="6" s="1"/>
  <c r="K61" i="5"/>
  <c r="I61"/>
  <c r="G61"/>
  <c r="E61"/>
  <c r="C61"/>
  <c r="Q59" i="6" s="1"/>
  <c r="K60" i="5"/>
  <c r="I60"/>
  <c r="G60"/>
  <c r="E60"/>
  <c r="C60"/>
  <c r="I58" i="6" s="1"/>
  <c r="K59" i="5"/>
  <c r="I59"/>
  <c r="G59"/>
  <c r="E59"/>
  <c r="C59"/>
  <c r="Q57" i="6" s="1"/>
  <c r="K58" i="5"/>
  <c r="I58"/>
  <c r="G58"/>
  <c r="E58"/>
  <c r="C58"/>
  <c r="I56" i="6" s="1"/>
  <c r="K57" i="5"/>
  <c r="I57"/>
  <c r="G57"/>
  <c r="E57"/>
  <c r="C57"/>
  <c r="Q55" i="6" s="1"/>
  <c r="K56" i="5"/>
  <c r="I56"/>
  <c r="G56"/>
  <c r="E56"/>
  <c r="C56"/>
  <c r="I54" i="6" s="1"/>
  <c r="K55" i="5"/>
  <c r="I55"/>
  <c r="G55"/>
  <c r="E55"/>
  <c r="C55"/>
  <c r="Q53" i="6" s="1"/>
  <c r="K54" i="5"/>
  <c r="I54"/>
  <c r="G54"/>
  <c r="E54"/>
  <c r="C54"/>
  <c r="L54" s="1"/>
  <c r="M54" s="1"/>
  <c r="N54" s="1"/>
  <c r="J53"/>
  <c r="K53" s="1"/>
  <c r="H53"/>
  <c r="I53" s="1"/>
  <c r="G53"/>
  <c r="E53"/>
  <c r="D53"/>
  <c r="C53"/>
  <c r="L52" i="15" s="1"/>
  <c r="K52" i="5"/>
  <c r="I52"/>
  <c r="G52"/>
  <c r="E52"/>
  <c r="C52"/>
  <c r="K51"/>
  <c r="I51"/>
  <c r="G51"/>
  <c r="E51"/>
  <c r="C51"/>
  <c r="K50"/>
  <c r="I50"/>
  <c r="G50"/>
  <c r="E50"/>
  <c r="C50"/>
  <c r="K49"/>
  <c r="I49"/>
  <c r="G49"/>
  <c r="E49"/>
  <c r="C49"/>
  <c r="K48"/>
  <c r="I48"/>
  <c r="G48"/>
  <c r="E48"/>
  <c r="C48"/>
  <c r="K47"/>
  <c r="I47"/>
  <c r="G47"/>
  <c r="E47"/>
  <c r="C47"/>
  <c r="J46"/>
  <c r="K46" s="1"/>
  <c r="H46"/>
  <c r="I46" s="1"/>
  <c r="F46"/>
  <c r="G46" s="1"/>
  <c r="D46"/>
  <c r="E46" s="1"/>
  <c r="C46"/>
  <c r="L45" i="15" s="1"/>
  <c r="K45" i="5"/>
  <c r="I45"/>
  <c r="G45"/>
  <c r="E45"/>
  <c r="C45"/>
  <c r="K44"/>
  <c r="H44"/>
  <c r="I44" s="1"/>
  <c r="G44"/>
  <c r="E44"/>
  <c r="C44"/>
  <c r="Q42" i="6" s="1"/>
  <c r="J43" i="5"/>
  <c r="K43" s="1"/>
  <c r="H43"/>
  <c r="I43" s="1"/>
  <c r="F43"/>
  <c r="G43" s="1"/>
  <c r="D43"/>
  <c r="E43" s="1"/>
  <c r="C43"/>
  <c r="L42" i="15" s="1"/>
  <c r="K42" i="5"/>
  <c r="I42"/>
  <c r="G42"/>
  <c r="E42"/>
  <c r="C42"/>
  <c r="I40" i="6" s="1"/>
  <c r="K41" i="5"/>
  <c r="I41"/>
  <c r="G41"/>
  <c r="E41"/>
  <c r="C41"/>
  <c r="Q39" i="6" s="1"/>
  <c r="K40" i="5"/>
  <c r="I40"/>
  <c r="G40"/>
  <c r="E40"/>
  <c r="C40"/>
  <c r="I38" i="6" s="1"/>
  <c r="K39" i="5"/>
  <c r="I39"/>
  <c r="G39"/>
  <c r="E39"/>
  <c r="C39"/>
  <c r="Q37" i="6" s="1"/>
  <c r="K38" i="5"/>
  <c r="H38"/>
  <c r="I38" s="1"/>
  <c r="G38"/>
  <c r="D38"/>
  <c r="E38" s="1"/>
  <c r="C38"/>
  <c r="I36" i="6" s="1"/>
  <c r="L37" i="5"/>
  <c r="M37" s="1"/>
  <c r="N37" s="1"/>
  <c r="K37"/>
  <c r="I37"/>
  <c r="G37"/>
  <c r="E37"/>
  <c r="O37" s="1"/>
  <c r="P37" s="1"/>
  <c r="C37"/>
  <c r="Q35" i="6" s="1"/>
  <c r="L36" i="5"/>
  <c r="M36" s="1"/>
  <c r="N36" s="1"/>
  <c r="K36"/>
  <c r="I36"/>
  <c r="G36"/>
  <c r="E36"/>
  <c r="O36" s="1"/>
  <c r="P36" s="1"/>
  <c r="C36"/>
  <c r="I34" i="6" s="1"/>
  <c r="L35" i="5"/>
  <c r="M35" s="1"/>
  <c r="N35" s="1"/>
  <c r="K35"/>
  <c r="I35"/>
  <c r="G35"/>
  <c r="E35"/>
  <c r="O35" s="1"/>
  <c r="P35" s="1"/>
  <c r="C35"/>
  <c r="Q33" i="6" s="1"/>
  <c r="L34" i="5"/>
  <c r="M34" s="1"/>
  <c r="N34" s="1"/>
  <c r="K34"/>
  <c r="I34"/>
  <c r="G34"/>
  <c r="E34"/>
  <c r="O34" s="1"/>
  <c r="P34" s="1"/>
  <c r="C34"/>
  <c r="I32" i="6" s="1"/>
  <c r="L33" i="5"/>
  <c r="M33" s="1"/>
  <c r="N33" s="1"/>
  <c r="J33"/>
  <c r="K33" s="1"/>
  <c r="I33"/>
  <c r="G33"/>
  <c r="D33"/>
  <c r="E33" s="1"/>
  <c r="C33"/>
  <c r="Q31" i="6" s="1"/>
  <c r="L32" i="5"/>
  <c r="M32" s="1"/>
  <c r="N32" s="1"/>
  <c r="K32"/>
  <c r="I32"/>
  <c r="G32"/>
  <c r="E32"/>
  <c r="O32" s="1"/>
  <c r="P32" s="1"/>
  <c r="C32"/>
  <c r="I30" i="6" s="1"/>
  <c r="L31" i="5"/>
  <c r="M31" s="1"/>
  <c r="N31" s="1"/>
  <c r="K31"/>
  <c r="I31"/>
  <c r="G31"/>
  <c r="E31"/>
  <c r="O31" s="1"/>
  <c r="P31" s="1"/>
  <c r="C31"/>
  <c r="Q29" i="6" s="1"/>
  <c r="L30" i="5"/>
  <c r="M30" s="1"/>
  <c r="N30" s="1"/>
  <c r="K30"/>
  <c r="I30"/>
  <c r="G30"/>
  <c r="E30"/>
  <c r="O30" s="1"/>
  <c r="P30" s="1"/>
  <c r="C30"/>
  <c r="I28" i="6" s="1"/>
  <c r="L29" i="5"/>
  <c r="M29" s="1"/>
  <c r="N29" s="1"/>
  <c r="K29"/>
  <c r="I29"/>
  <c r="G29"/>
  <c r="E29"/>
  <c r="O29" s="1"/>
  <c r="P29" s="1"/>
  <c r="C29"/>
  <c r="Q27" i="6" s="1"/>
  <c r="L28" i="5"/>
  <c r="M28" s="1"/>
  <c r="N28" s="1"/>
  <c r="K28"/>
  <c r="I28"/>
  <c r="G28"/>
  <c r="E28"/>
  <c r="O28" s="1"/>
  <c r="P28" s="1"/>
  <c r="C28"/>
  <c r="I26" i="6" s="1"/>
  <c r="L27" i="5"/>
  <c r="M27" s="1"/>
  <c r="N27" s="1"/>
  <c r="K27"/>
  <c r="I27"/>
  <c r="G27"/>
  <c r="E27"/>
  <c r="O27" s="1"/>
  <c r="P27" s="1"/>
  <c r="C27"/>
  <c r="Q25" i="6" s="1"/>
  <c r="L26" i="5"/>
  <c r="M26" s="1"/>
  <c r="N26" s="1"/>
  <c r="K26"/>
  <c r="I26"/>
  <c r="G26"/>
  <c r="E26"/>
  <c r="O26" s="1"/>
  <c r="P26" s="1"/>
  <c r="C26"/>
  <c r="I24" i="6" s="1"/>
  <c r="L25" i="5"/>
  <c r="M25" s="1"/>
  <c r="N25" s="1"/>
  <c r="K25"/>
  <c r="I25"/>
  <c r="G25"/>
  <c r="E25"/>
  <c r="O25" s="1"/>
  <c r="P25" s="1"/>
  <c r="C25"/>
  <c r="Q23" i="6" s="1"/>
  <c r="K24" i="5"/>
  <c r="H24"/>
  <c r="I24" s="1"/>
  <c r="F24"/>
  <c r="F77" s="1"/>
  <c r="D24"/>
  <c r="E24" s="1"/>
  <c r="C24"/>
  <c r="L23" i="15" s="1"/>
  <c r="K23" i="5"/>
  <c r="I23"/>
  <c r="G23"/>
  <c r="E23"/>
  <c r="C23"/>
  <c r="K22"/>
  <c r="I22"/>
  <c r="G22"/>
  <c r="E22"/>
  <c r="C22"/>
  <c r="K21"/>
  <c r="I21"/>
  <c r="G21"/>
  <c r="E21"/>
  <c r="C21"/>
  <c r="K20"/>
  <c r="I20"/>
  <c r="G20"/>
  <c r="E20"/>
  <c r="C20"/>
  <c r="K19"/>
  <c r="I19"/>
  <c r="G19"/>
  <c r="E19"/>
  <c r="C19"/>
  <c r="K18"/>
  <c r="I18"/>
  <c r="G18"/>
  <c r="E18"/>
  <c r="C18"/>
  <c r="K17"/>
  <c r="I17"/>
  <c r="G17"/>
  <c r="E17"/>
  <c r="C17"/>
  <c r="J16"/>
  <c r="J77" s="1"/>
  <c r="H16"/>
  <c r="H77" s="1"/>
  <c r="G16"/>
  <c r="D16"/>
  <c r="E16" s="1"/>
  <c r="C16"/>
  <c r="L15" i="15" s="1"/>
  <c r="L15" i="5"/>
  <c r="M15" s="1"/>
  <c r="N15" s="1"/>
  <c r="K15"/>
  <c r="I15"/>
  <c r="G15"/>
  <c r="E15"/>
  <c r="O15" s="1"/>
  <c r="P15" s="1"/>
  <c r="C15"/>
  <c r="I13" i="6" s="1"/>
  <c r="L14" i="5"/>
  <c r="M14" s="1"/>
  <c r="N14" s="1"/>
  <c r="K14"/>
  <c r="I14"/>
  <c r="G14"/>
  <c r="E14"/>
  <c r="O14" s="1"/>
  <c r="P14" s="1"/>
  <c r="C14"/>
  <c r="L13"/>
  <c r="M13" s="1"/>
  <c r="N13" s="1"/>
  <c r="K13"/>
  <c r="I13"/>
  <c r="G13"/>
  <c r="E13"/>
  <c r="O13" s="1"/>
  <c r="P13" s="1"/>
  <c r="C13"/>
  <c r="I11" i="6" s="1"/>
  <c r="L12" i="5"/>
  <c r="M12" s="1"/>
  <c r="N12" s="1"/>
  <c r="K12"/>
  <c r="I12"/>
  <c r="G12"/>
  <c r="E12"/>
  <c r="O12" s="1"/>
  <c r="P12" s="1"/>
  <c r="C12"/>
  <c r="L11"/>
  <c r="M11" s="1"/>
  <c r="N11" s="1"/>
  <c r="K11"/>
  <c r="I11"/>
  <c r="G11"/>
  <c r="E11"/>
  <c r="O11" s="1"/>
  <c r="P11" s="1"/>
  <c r="C11"/>
  <c r="I9" i="6" s="1"/>
  <c r="L10" i="5"/>
  <c r="M10" s="1"/>
  <c r="N10" s="1"/>
  <c r="K10"/>
  <c r="I10"/>
  <c r="G10"/>
  <c r="E10"/>
  <c r="O10" s="1"/>
  <c r="P10" s="1"/>
  <c r="C10"/>
  <c r="L9"/>
  <c r="M9" s="1"/>
  <c r="N9" s="1"/>
  <c r="K9"/>
  <c r="I9"/>
  <c r="G9"/>
  <c r="E9"/>
  <c r="C9"/>
  <c r="I7" i="6" s="1"/>
  <c r="L8" i="5"/>
  <c r="M8" s="1"/>
  <c r="N8" s="1"/>
  <c r="K8"/>
  <c r="I8"/>
  <c r="G8"/>
  <c r="E8"/>
  <c r="C8"/>
  <c r="V6"/>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O6"/>
  <c r="P6" s="1"/>
  <c r="Q6" s="1"/>
  <c r="R6" s="1"/>
  <c r="S6" s="1"/>
  <c r="Q4"/>
  <c r="Q76" s="1"/>
  <c r="N4"/>
  <c r="AC75" i="4"/>
  <c r="J75"/>
  <c r="S41"/>
  <c r="S75" s="1"/>
  <c r="E41"/>
  <c r="E75" s="1"/>
  <c r="M18"/>
  <c r="M14"/>
  <c r="M10"/>
  <c r="D5"/>
  <c r="E5" s="1"/>
  <c r="F5" s="1"/>
  <c r="G5" s="1"/>
  <c r="H5" s="1"/>
  <c r="I5" s="1"/>
  <c r="J5" s="1"/>
  <c r="K5" s="1"/>
  <c r="L5" s="1"/>
  <c r="M5" s="1"/>
  <c r="N5" s="1"/>
  <c r="O5" s="1"/>
  <c r="P5" s="1"/>
  <c r="Q5" s="1"/>
  <c r="R5" s="1"/>
  <c r="S5" s="1"/>
  <c r="T5" s="1"/>
  <c r="U5" s="1"/>
  <c r="V5" s="1"/>
  <c r="W5" s="1"/>
  <c r="X5" s="1"/>
  <c r="Y5" s="1"/>
  <c r="Z5" s="1"/>
  <c r="AA5" s="1"/>
  <c r="AB5" s="1"/>
  <c r="AC5" s="1"/>
  <c r="AC75" i="3"/>
  <c r="J75"/>
  <c r="R44"/>
  <c r="Q44"/>
  <c r="S41"/>
  <c r="S75" s="1"/>
  <c r="E41"/>
  <c r="E75" s="1"/>
  <c r="R22"/>
  <c r="Q22"/>
  <c r="R14"/>
  <c r="R75" s="1"/>
  <c r="Q14"/>
  <c r="Q75" s="1"/>
  <c r="E5"/>
  <c r="F5" s="1"/>
  <c r="G5" s="1"/>
  <c r="H5" s="1"/>
  <c r="I5" s="1"/>
  <c r="J5" s="1"/>
  <c r="K5" s="1"/>
  <c r="L5" s="1"/>
  <c r="M5" s="1"/>
  <c r="N5" s="1"/>
  <c r="O5" s="1"/>
  <c r="P5" s="1"/>
  <c r="Q5" s="1"/>
  <c r="R5" s="1"/>
  <c r="S5" s="1"/>
  <c r="T5" s="1"/>
  <c r="U5" s="1"/>
  <c r="V5" s="1"/>
  <c r="W5" s="1"/>
  <c r="X5" s="1"/>
  <c r="Y5" s="1"/>
  <c r="Z5" s="1"/>
  <c r="AA5" s="1"/>
  <c r="AB5" s="1"/>
  <c r="AC5" s="1"/>
  <c r="D5"/>
  <c r="E76" i="2"/>
  <c r="D76"/>
  <c r="F77" s="1"/>
  <c r="Q75"/>
  <c r="O75"/>
  <c r="G75"/>
  <c r="F75"/>
  <c r="H75" s="1"/>
  <c r="Q74"/>
  <c r="O74"/>
  <c r="G74"/>
  <c r="F74"/>
  <c r="H74" s="1"/>
  <c r="Q73"/>
  <c r="O73"/>
  <c r="G73"/>
  <c r="F73"/>
  <c r="H73" s="1"/>
  <c r="Q72"/>
  <c r="O72"/>
  <c r="F72"/>
  <c r="G72" s="1"/>
  <c r="Q71"/>
  <c r="O71"/>
  <c r="G71"/>
  <c r="F71"/>
  <c r="H71" s="1"/>
  <c r="Q70"/>
  <c r="O70"/>
  <c r="F70"/>
  <c r="G70" s="1"/>
  <c r="Q69"/>
  <c r="O69"/>
  <c r="G69"/>
  <c r="F69"/>
  <c r="H69" s="1"/>
  <c r="Q68"/>
  <c r="O68"/>
  <c r="F68"/>
  <c r="G68" s="1"/>
  <c r="Q67"/>
  <c r="O67"/>
  <c r="G67"/>
  <c r="F67"/>
  <c r="H67" s="1"/>
  <c r="Q66"/>
  <c r="O66"/>
  <c r="F66"/>
  <c r="G66" s="1"/>
  <c r="Q65"/>
  <c r="O65"/>
  <c r="G65"/>
  <c r="F65"/>
  <c r="H65" s="1"/>
  <c r="Q64"/>
  <c r="O64"/>
  <c r="F64"/>
  <c r="G64" s="1"/>
  <c r="Q63"/>
  <c r="O63"/>
  <c r="G63"/>
  <c r="F63"/>
  <c r="H63" s="1"/>
  <c r="Q62"/>
  <c r="O62"/>
  <c r="G62"/>
  <c r="F62"/>
  <c r="H62" s="1"/>
  <c r="Q61"/>
  <c r="O61"/>
  <c r="F61"/>
  <c r="G61" s="1"/>
  <c r="Q60"/>
  <c r="O60"/>
  <c r="G60"/>
  <c r="F60"/>
  <c r="H60" s="1"/>
  <c r="Q59"/>
  <c r="O59"/>
  <c r="F59"/>
  <c r="G59" s="1"/>
  <c r="Q58"/>
  <c r="O58"/>
  <c r="F58"/>
  <c r="G58" s="1"/>
  <c r="Q57"/>
  <c r="O57"/>
  <c r="G57"/>
  <c r="F57"/>
  <c r="H57" s="1"/>
  <c r="Q56"/>
  <c r="O56"/>
  <c r="F56"/>
  <c r="G56" s="1"/>
  <c r="Q55"/>
  <c r="O55"/>
  <c r="G55"/>
  <c r="F55"/>
  <c r="H55" s="1"/>
  <c r="Q54"/>
  <c r="O54"/>
  <c r="G54"/>
  <c r="F54"/>
  <c r="H54" s="1"/>
  <c r="Q53"/>
  <c r="O53"/>
  <c r="F53"/>
  <c r="G53" s="1"/>
  <c r="Q52"/>
  <c r="O52"/>
  <c r="F52"/>
  <c r="G52" s="1"/>
  <c r="Q51"/>
  <c r="O51"/>
  <c r="F51"/>
  <c r="G51" s="1"/>
  <c r="Q50"/>
  <c r="O50"/>
  <c r="F50"/>
  <c r="G50" s="1"/>
  <c r="Q49"/>
  <c r="O49"/>
  <c r="G49"/>
  <c r="F49"/>
  <c r="H49" s="1"/>
  <c r="Q48"/>
  <c r="O48"/>
  <c r="F48"/>
  <c r="G48" s="1"/>
  <c r="Q47"/>
  <c r="O47"/>
  <c r="G47"/>
  <c r="F47"/>
  <c r="H47" s="1"/>
  <c r="Q46"/>
  <c r="O46"/>
  <c r="F46"/>
  <c r="G46" s="1"/>
  <c r="Q45"/>
  <c r="O45"/>
  <c r="F45"/>
  <c r="G45" s="1"/>
  <c r="Q44"/>
  <c r="O44"/>
  <c r="G44"/>
  <c r="F44"/>
  <c r="H44" s="1"/>
  <c r="Q43"/>
  <c r="O43"/>
  <c r="G43"/>
  <c r="F43"/>
  <c r="H43" s="1"/>
  <c r="Q42"/>
  <c r="O42"/>
  <c r="F42"/>
  <c r="G42" s="1"/>
  <c r="Q41"/>
  <c r="O41"/>
  <c r="G41"/>
  <c r="F41"/>
  <c r="H41" s="1"/>
  <c r="Q40"/>
  <c r="O40"/>
  <c r="F40"/>
  <c r="G40" s="1"/>
  <c r="Q39"/>
  <c r="O39"/>
  <c r="G39"/>
  <c r="F39"/>
  <c r="H39" s="1"/>
  <c r="Q38"/>
  <c r="O38"/>
  <c r="G38"/>
  <c r="F38"/>
  <c r="H38" s="1"/>
  <c r="Q37"/>
  <c r="O37"/>
  <c r="G37"/>
  <c r="F37"/>
  <c r="H37" s="1"/>
  <c r="Q36"/>
  <c r="O36"/>
  <c r="F36"/>
  <c r="G36" s="1"/>
  <c r="Q35"/>
  <c r="O35"/>
  <c r="G35"/>
  <c r="F35"/>
  <c r="H35" s="1"/>
  <c r="Q34"/>
  <c r="O34"/>
  <c r="F34"/>
  <c r="G34" s="1"/>
  <c r="Q33"/>
  <c r="O33"/>
  <c r="G33"/>
  <c r="F33"/>
  <c r="H33" s="1"/>
  <c r="Q32"/>
  <c r="O32"/>
  <c r="G32"/>
  <c r="F32"/>
  <c r="H32" s="1"/>
  <c r="Q31"/>
  <c r="O31"/>
  <c r="F31"/>
  <c r="G31" s="1"/>
  <c r="Q30"/>
  <c r="O30"/>
  <c r="G30"/>
  <c r="F30"/>
  <c r="H30" s="1"/>
  <c r="Q29"/>
  <c r="O29"/>
  <c r="F29"/>
  <c r="G29" s="1"/>
  <c r="Q28"/>
  <c r="O28"/>
  <c r="G28"/>
  <c r="F28"/>
  <c r="H28" s="1"/>
  <c r="Q27"/>
  <c r="O27"/>
  <c r="F27"/>
  <c r="G27" s="1"/>
  <c r="Q26"/>
  <c r="O26"/>
  <c r="G26"/>
  <c r="F26"/>
  <c r="H26" s="1"/>
  <c r="Q25"/>
  <c r="O25"/>
  <c r="F25"/>
  <c r="G25" s="1"/>
  <c r="Q24"/>
  <c r="O24"/>
  <c r="G24"/>
  <c r="F24"/>
  <c r="H24" s="1"/>
  <c r="Q23"/>
  <c r="O23"/>
  <c r="F23"/>
  <c r="G23" s="1"/>
  <c r="Q22"/>
  <c r="O22"/>
  <c r="G22"/>
  <c r="F22"/>
  <c r="H22" s="1"/>
  <c r="Q21"/>
  <c r="O21"/>
  <c r="F21"/>
  <c r="G21" s="1"/>
  <c r="Q20"/>
  <c r="O20"/>
  <c r="G20"/>
  <c r="F20"/>
  <c r="H20" s="1"/>
  <c r="Q19"/>
  <c r="O19"/>
  <c r="F19"/>
  <c r="G19" s="1"/>
  <c r="Q18"/>
  <c r="O18"/>
  <c r="G18"/>
  <c r="F18"/>
  <c r="H18" s="1"/>
  <c r="Q17"/>
  <c r="O17"/>
  <c r="F17"/>
  <c r="G17" s="1"/>
  <c r="Q16"/>
  <c r="O16"/>
  <c r="F16"/>
  <c r="H16" s="1"/>
  <c r="Q15"/>
  <c r="O15"/>
  <c r="F15"/>
  <c r="H15" s="1"/>
  <c r="Q14"/>
  <c r="O14"/>
  <c r="G14"/>
  <c r="F14"/>
  <c r="H14" s="1"/>
  <c r="Q13"/>
  <c r="O13"/>
  <c r="F13"/>
  <c r="H13" s="1"/>
  <c r="Q12"/>
  <c r="O12"/>
  <c r="F12"/>
  <c r="G12" s="1"/>
  <c r="Q11"/>
  <c r="O11"/>
  <c r="F11"/>
  <c r="H11" s="1"/>
  <c r="Q10"/>
  <c r="O10"/>
  <c r="F10"/>
  <c r="G10" s="1"/>
  <c r="Q9"/>
  <c r="O9"/>
  <c r="G9"/>
  <c r="F9"/>
  <c r="H9" s="1"/>
  <c r="Q8"/>
  <c r="O8"/>
  <c r="F8"/>
  <c r="G8" s="1"/>
  <c r="Q7"/>
  <c r="Q76" s="1"/>
  <c r="O7"/>
  <c r="O76" s="1"/>
  <c r="G7"/>
  <c r="F7"/>
  <c r="F76" s="1"/>
  <c r="E69" i="1" s="1"/>
  <c r="C6" i="2"/>
  <c r="D6" s="1"/>
  <c r="E6" s="1"/>
  <c r="F6" s="1"/>
  <c r="G6" s="1"/>
  <c r="H6" s="1"/>
  <c r="I6" s="1"/>
  <c r="J6" s="1"/>
  <c r="K6" s="1"/>
  <c r="L6" s="1"/>
  <c r="M6" s="1"/>
  <c r="N6" s="1"/>
  <c r="O6" s="1"/>
  <c r="P6" s="1"/>
  <c r="Q6" s="1"/>
  <c r="R6" s="1"/>
  <c r="S6" s="1"/>
  <c r="T6" s="1"/>
  <c r="U6" s="1"/>
  <c r="G113" i="1"/>
  <c r="D92"/>
  <c r="D97" s="1"/>
  <c r="E73"/>
  <c r="G73" s="1"/>
  <c r="E72"/>
  <c r="H72" s="1"/>
  <c r="E70"/>
  <c r="H70" s="1"/>
  <c r="E44"/>
  <c r="G44" s="1"/>
  <c r="E35"/>
  <c r="H35" s="1"/>
  <c r="E34"/>
  <c r="H34" s="1"/>
  <c r="E18"/>
  <c r="E17"/>
  <c r="E16"/>
  <c r="E15"/>
  <c r="AB29" i="12" l="1"/>
  <c r="AB33"/>
  <c r="AB37"/>
  <c r="AB43"/>
  <c r="AB47"/>
  <c r="AB51"/>
  <c r="AB55"/>
  <c r="AB59"/>
  <c r="AB63"/>
  <c r="AB67"/>
  <c r="AB71"/>
  <c r="AC11" i="10"/>
  <c r="AC12"/>
  <c r="AC13"/>
  <c r="Z62" i="11"/>
  <c r="AA8" i="12"/>
  <c r="AA10"/>
  <c r="AB11"/>
  <c r="AA12"/>
  <c r="AA14"/>
  <c r="AB15"/>
  <c r="AA16"/>
  <c r="AA18"/>
  <c r="AA20"/>
  <c r="AC21"/>
  <c r="M22" i="4" s="1"/>
  <c r="AC25" i="12"/>
  <c r="M26" i="4" s="1"/>
  <c r="AC29" i="12"/>
  <c r="M30" i="4" s="1"/>
  <c r="AC33" i="12"/>
  <c r="M34" i="4" s="1"/>
  <c r="AC37" i="12"/>
  <c r="M38" i="4" s="1"/>
  <c r="AA40" i="12"/>
  <c r="AA42"/>
  <c r="AC43"/>
  <c r="M44" i="4" s="1"/>
  <c r="AC47" i="12"/>
  <c r="M48" i="4" s="1"/>
  <c r="AC51" i="12"/>
  <c r="M52" i="4" s="1"/>
  <c r="AC55" i="12"/>
  <c r="M56" i="4" s="1"/>
  <c r="AC59" i="12"/>
  <c r="M60" i="4" s="1"/>
  <c r="AC63" i="12"/>
  <c r="M64" i="4" s="1"/>
  <c r="AC67" i="12"/>
  <c r="M68" i="4" s="1"/>
  <c r="AC71" i="12"/>
  <c r="M72" i="4" s="1"/>
  <c r="AB28" i="13"/>
  <c r="AB36"/>
  <c r="AB46"/>
  <c r="AB54"/>
  <c r="AC61"/>
  <c r="N62" i="4" s="1"/>
  <c r="AC65" i="13"/>
  <c r="N66" i="4" s="1"/>
  <c r="AB67" i="13"/>
  <c r="AC69"/>
  <c r="N70" i="4" s="1"/>
  <c r="AB71" i="13"/>
  <c r="AC73"/>
  <c r="N74" i="4" s="1"/>
  <c r="C95" i="19"/>
  <c r="E92"/>
  <c r="E94"/>
  <c r="E62" i="21"/>
  <c r="X61" i="13" s="1"/>
  <c r="Y61" s="1"/>
  <c r="AB61" s="1"/>
  <c r="E64" i="21"/>
  <c r="X63" i="13" s="1"/>
  <c r="Y63" s="1"/>
  <c r="AB63" s="1"/>
  <c r="AA43" i="11"/>
  <c r="S31" i="10"/>
  <c r="X102" i="11"/>
  <c r="AE11" s="1"/>
  <c r="Z9"/>
  <c r="X45"/>
  <c r="X10"/>
  <c r="G7" i="10"/>
  <c r="S18"/>
  <c r="S38" s="1"/>
  <c r="AJ38"/>
  <c r="G14"/>
  <c r="G21"/>
  <c r="G24" s="1"/>
  <c r="U30"/>
  <c r="U38" s="1"/>
  <c r="U44" s="1"/>
  <c r="G33"/>
  <c r="G36" s="1"/>
  <c r="AC35"/>
  <c r="Z8" i="11"/>
  <c r="R28"/>
  <c r="N102" s="1"/>
  <c r="Z102" s="1"/>
  <c r="Z42"/>
  <c r="V43"/>
  <c r="AB43" s="1"/>
  <c r="H49" i="4" s="1"/>
  <c r="V44" i="11"/>
  <c r="AB44" s="1"/>
  <c r="H50" i="4" s="1"/>
  <c r="Z45" i="11"/>
  <c r="V62"/>
  <c r="V64"/>
  <c r="B83"/>
  <c r="Q6" i="6"/>
  <c r="Q8"/>
  <c r="Q10"/>
  <c r="Q12"/>
  <c r="O9" i="5"/>
  <c r="P9" s="1"/>
  <c r="O54"/>
  <c r="P54" s="1"/>
  <c r="L55"/>
  <c r="M55" s="1"/>
  <c r="N55" s="1"/>
  <c r="O55" s="1"/>
  <c r="P55" s="1"/>
  <c r="L56"/>
  <c r="M56" s="1"/>
  <c r="N56" s="1"/>
  <c r="O56" s="1"/>
  <c r="P56" s="1"/>
  <c r="L57"/>
  <c r="M57" s="1"/>
  <c r="N57" s="1"/>
  <c r="O57" s="1"/>
  <c r="P57" s="1"/>
  <c r="L58"/>
  <c r="M58" s="1"/>
  <c r="N58" s="1"/>
  <c r="O58" s="1"/>
  <c r="P58" s="1"/>
  <c r="L59"/>
  <c r="M59" s="1"/>
  <c r="N59" s="1"/>
  <c r="O59" s="1"/>
  <c r="P59" s="1"/>
  <c r="L60"/>
  <c r="M60" s="1"/>
  <c r="N60" s="1"/>
  <c r="O60" s="1"/>
  <c r="P60" s="1"/>
  <c r="L61"/>
  <c r="M61" s="1"/>
  <c r="N61" s="1"/>
  <c r="O61" s="1"/>
  <c r="P61" s="1"/>
  <c r="L62"/>
  <c r="M62" s="1"/>
  <c r="N62" s="1"/>
  <c r="O62" s="1"/>
  <c r="P62" s="1"/>
  <c r="I23" i="6"/>
  <c r="I27"/>
  <c r="I33"/>
  <c r="I35"/>
  <c r="I37"/>
  <c r="I39"/>
  <c r="I41"/>
  <c r="I44"/>
  <c r="I45"/>
  <c r="I47"/>
  <c r="I49"/>
  <c r="I69"/>
  <c r="I71"/>
  <c r="I73"/>
  <c r="I16" i="5"/>
  <c r="I77" s="1"/>
  <c r="E22" i="1" s="1"/>
  <c r="K16" i="5"/>
  <c r="K77" s="1"/>
  <c r="E23" i="1" s="1"/>
  <c r="G24" i="5"/>
  <c r="G77" s="1"/>
  <c r="E21" i="1" s="1"/>
  <c r="L38" i="5"/>
  <c r="M38" s="1"/>
  <c r="N38" s="1"/>
  <c r="O39"/>
  <c r="P39" s="1"/>
  <c r="L39"/>
  <c r="M39" s="1"/>
  <c r="N39" s="1"/>
  <c r="O40"/>
  <c r="P40" s="1"/>
  <c r="L40"/>
  <c r="M40" s="1"/>
  <c r="N40" s="1"/>
  <c r="L41"/>
  <c r="M41" s="1"/>
  <c r="N41" s="1"/>
  <c r="O41" s="1"/>
  <c r="P41" s="1"/>
  <c r="L42"/>
  <c r="M42" s="1"/>
  <c r="N42" s="1"/>
  <c r="O42" s="1"/>
  <c r="P42" s="1"/>
  <c r="L43"/>
  <c r="M43" s="1"/>
  <c r="N43" s="1"/>
  <c r="O43" s="1"/>
  <c r="P43" s="1"/>
  <c r="L75"/>
  <c r="M75" s="1"/>
  <c r="N75" s="1"/>
  <c r="D79"/>
  <c r="L76"/>
  <c r="M76" s="1"/>
  <c r="N76" s="1"/>
  <c r="I6" i="6"/>
  <c r="I8"/>
  <c r="I10"/>
  <c r="I12"/>
  <c r="I14"/>
  <c r="I16"/>
  <c r="I18"/>
  <c r="I42"/>
  <c r="I51"/>
  <c r="I53"/>
  <c r="I55"/>
  <c r="I57"/>
  <c r="I59"/>
  <c r="I61"/>
  <c r="I63"/>
  <c r="I65"/>
  <c r="I67"/>
  <c r="AA10" i="11"/>
  <c r="AB10"/>
  <c r="AB19" i="12"/>
  <c r="AB41"/>
  <c r="AB39"/>
  <c r="C213" i="19"/>
  <c r="E87"/>
  <c r="E89"/>
  <c r="E91"/>
  <c r="E93"/>
  <c r="E102"/>
  <c r="W8" i="11" s="1"/>
  <c r="X8" s="1"/>
  <c r="AA8" s="1"/>
  <c r="E103" i="19"/>
  <c r="W9" i="11" s="1"/>
  <c r="X9" s="1"/>
  <c r="E108" i="19"/>
  <c r="W25" i="11" s="1"/>
  <c r="E109" i="19"/>
  <c r="W26" i="11" s="1"/>
  <c r="X26" s="1"/>
  <c r="E110" i="19"/>
  <c r="E114"/>
  <c r="W42" i="11" s="1"/>
  <c r="X42" s="1"/>
  <c r="AA42" s="1"/>
  <c r="E143" i="19"/>
  <c r="E150"/>
  <c r="E152"/>
  <c r="E7" i="20"/>
  <c r="X6" i="12" s="1"/>
  <c r="Y6" s="1"/>
  <c r="E8" i="20"/>
  <c r="X7" i="12" s="1"/>
  <c r="Y7" s="1"/>
  <c r="AB7" s="1"/>
  <c r="E9" i="20"/>
  <c r="X8" i="12" s="1"/>
  <c r="Y8" s="1"/>
  <c r="E11" i="20"/>
  <c r="X10" i="12" s="1"/>
  <c r="Y10" s="1"/>
  <c r="E13" i="20"/>
  <c r="X12" i="12" s="1"/>
  <c r="Y12" s="1"/>
  <c r="E15" i="20"/>
  <c r="X14" i="12" s="1"/>
  <c r="Y14" s="1"/>
  <c r="E17" i="20"/>
  <c r="X16" i="12" s="1"/>
  <c r="Y16" s="1"/>
  <c r="E19" i="20"/>
  <c r="X18" i="12" s="1"/>
  <c r="Y18" s="1"/>
  <c r="E21" i="20"/>
  <c r="X20" i="12" s="1"/>
  <c r="Y20" s="1"/>
  <c r="E23" i="20"/>
  <c r="E25"/>
  <c r="X24" i="12" s="1"/>
  <c r="Y24" s="1"/>
  <c r="E27" i="20"/>
  <c r="X26" i="12" s="1"/>
  <c r="Y26" s="1"/>
  <c r="E29" i="20"/>
  <c r="X28" i="12" s="1"/>
  <c r="Y28" s="1"/>
  <c r="E31" i="20"/>
  <c r="X30" i="12" s="1"/>
  <c r="Y30" s="1"/>
  <c r="E33" i="20"/>
  <c r="X32" i="12" s="1"/>
  <c r="Y32" s="1"/>
  <c r="E35" i="20"/>
  <c r="X34" i="12" s="1"/>
  <c r="Y34" s="1"/>
  <c r="E37" i="20"/>
  <c r="X36" i="12" s="1"/>
  <c r="Y36" s="1"/>
  <c r="AB36" s="1"/>
  <c r="E39" i="20"/>
  <c r="X38" i="12" s="1"/>
  <c r="Y38" s="1"/>
  <c r="E41" i="20"/>
  <c r="X40" i="12" s="1"/>
  <c r="Y40" s="1"/>
  <c r="AB40" s="1"/>
  <c r="E43" i="20"/>
  <c r="X42" i="12" s="1"/>
  <c r="Y42" s="1"/>
  <c r="E45" i="20"/>
  <c r="X44" i="12" s="1"/>
  <c r="Y44" s="1"/>
  <c r="E47" i="20"/>
  <c r="X46" i="12" s="1"/>
  <c r="Y46" s="1"/>
  <c r="E49" i="20"/>
  <c r="X48" i="12" s="1"/>
  <c r="Y48" s="1"/>
  <c r="AB48" s="1"/>
  <c r="E51" i="20"/>
  <c r="X50" i="12" s="1"/>
  <c r="Y50" s="1"/>
  <c r="E53" i="20"/>
  <c r="X52" i="12" s="1"/>
  <c r="Y52" s="1"/>
  <c r="E55" i="20"/>
  <c r="X54" i="12" s="1"/>
  <c r="Y54" s="1"/>
  <c r="E57" i="20"/>
  <c r="X56" i="12" s="1"/>
  <c r="Y56" s="1"/>
  <c r="E59" i="20"/>
  <c r="X58" i="12" s="1"/>
  <c r="Y58" s="1"/>
  <c r="E61" i="20"/>
  <c r="X60" i="12" s="1"/>
  <c r="Y60" s="1"/>
  <c r="AB60" s="1"/>
  <c r="E63" i="20"/>
  <c r="X62" i="12" s="1"/>
  <c r="Y62" s="1"/>
  <c r="E65" i="20"/>
  <c r="X64" i="12" s="1"/>
  <c r="Y64" s="1"/>
  <c r="E67" i="20"/>
  <c r="X66" i="12" s="1"/>
  <c r="Y66" s="1"/>
  <c r="E69" i="20"/>
  <c r="X68" i="12" s="1"/>
  <c r="Y68" s="1"/>
  <c r="AB68" s="1"/>
  <c r="E71" i="20"/>
  <c r="X70" i="12" s="1"/>
  <c r="Y70" s="1"/>
  <c r="E73" i="20"/>
  <c r="X72" i="12" s="1"/>
  <c r="Y72" s="1"/>
  <c r="AB72" s="1"/>
  <c r="E8" i="21"/>
  <c r="X7" i="13" s="1"/>
  <c r="Y7" s="1"/>
  <c r="AB7" s="1"/>
  <c r="E10" i="21"/>
  <c r="X9" i="13" s="1"/>
  <c r="Y9" s="1"/>
  <c r="AB9" s="1"/>
  <c r="E12" i="21"/>
  <c r="X11" i="13" s="1"/>
  <c r="Y11" s="1"/>
  <c r="AB11" s="1"/>
  <c r="E14" i="21"/>
  <c r="X13" i="13" s="1"/>
  <c r="Y13" s="1"/>
  <c r="AB13" s="1"/>
  <c r="E16" i="21"/>
  <c r="X15" i="13" s="1"/>
  <c r="Y15" s="1"/>
  <c r="AB15" s="1"/>
  <c r="E18" i="21"/>
  <c r="X17" i="13" s="1"/>
  <c r="Y17" s="1"/>
  <c r="AB17" s="1"/>
  <c r="E20" i="21"/>
  <c r="X19" i="13" s="1"/>
  <c r="Y19" s="1"/>
  <c r="AB19" s="1"/>
  <c r="E22" i="21"/>
  <c r="X21" i="13" s="1"/>
  <c r="Y21" s="1"/>
  <c r="AB21" s="1"/>
  <c r="E24" i="21"/>
  <c r="X23" i="13" s="1"/>
  <c r="Y23" s="1"/>
  <c r="AB23" s="1"/>
  <c r="E26" i="21"/>
  <c r="X25" i="13" s="1"/>
  <c r="Y25" s="1"/>
  <c r="AB25" s="1"/>
  <c r="E28" i="21"/>
  <c r="X27" i="13" s="1"/>
  <c r="Y27" s="1"/>
  <c r="AB27" s="1"/>
  <c r="E30" i="21"/>
  <c r="X29" i="13" s="1"/>
  <c r="Y29" s="1"/>
  <c r="AB29" s="1"/>
  <c r="E32" i="21"/>
  <c r="X31" i="13" s="1"/>
  <c r="Y31" s="1"/>
  <c r="AB31" s="1"/>
  <c r="E34" i="21"/>
  <c r="X33" i="13" s="1"/>
  <c r="Y33" s="1"/>
  <c r="AB33" s="1"/>
  <c r="E36" i="21"/>
  <c r="X35" i="13" s="1"/>
  <c r="Y35" s="1"/>
  <c r="AB35" s="1"/>
  <c r="E38" i="21"/>
  <c r="X37" i="13" s="1"/>
  <c r="Y37" s="1"/>
  <c r="AB37" s="1"/>
  <c r="E40" i="21"/>
  <c r="X39" i="13" s="1"/>
  <c r="Y39" s="1"/>
  <c r="AB39" s="1"/>
  <c r="E42" i="21"/>
  <c r="X41" i="13" s="1"/>
  <c r="Y41" s="1"/>
  <c r="AB41" s="1"/>
  <c r="E44" i="21"/>
  <c r="X43" i="13" s="1"/>
  <c r="Y43" s="1"/>
  <c r="AB43" s="1"/>
  <c r="E46" i="21"/>
  <c r="X45" i="13" s="1"/>
  <c r="Y45" s="1"/>
  <c r="AB45" s="1"/>
  <c r="E48" i="21"/>
  <c r="X47" i="13" s="1"/>
  <c r="Y47" s="1"/>
  <c r="AB47" s="1"/>
  <c r="E50" i="21"/>
  <c r="X49" i="13" s="1"/>
  <c r="Y49" s="1"/>
  <c r="AB49" s="1"/>
  <c r="E52" i="21"/>
  <c r="X51" i="13" s="1"/>
  <c r="Y51" s="1"/>
  <c r="AB51" s="1"/>
  <c r="E54" i="21"/>
  <c r="X53" i="13" s="1"/>
  <c r="Y53" s="1"/>
  <c r="AB53" s="1"/>
  <c r="E56" i="21"/>
  <c r="X55" i="13" s="1"/>
  <c r="Y55" s="1"/>
  <c r="AB55" s="1"/>
  <c r="E58" i="21"/>
  <c r="X57" i="13" s="1"/>
  <c r="Y57" s="1"/>
  <c r="AB57" s="1"/>
  <c r="E60" i="21"/>
  <c r="X59" i="13" s="1"/>
  <c r="Y59" s="1"/>
  <c r="AB59" s="1"/>
  <c r="G34" i="1"/>
  <c r="E71"/>
  <c r="AB45" i="11"/>
  <c r="H53" i="4" s="1"/>
  <c r="AA61" i="11"/>
  <c r="AC7" i="12"/>
  <c r="M8" i="4" s="1"/>
  <c r="AC11" i="12"/>
  <c r="M12" i="4" s="1"/>
  <c r="AC15" i="12"/>
  <c r="M16" i="4" s="1"/>
  <c r="AC19" i="12"/>
  <c r="M20" i="4" s="1"/>
  <c r="AC23" i="12"/>
  <c r="M24" i="4" s="1"/>
  <c r="AC27" i="12"/>
  <c r="M28" i="4" s="1"/>
  <c r="AC31" i="12"/>
  <c r="M32" i="4" s="1"/>
  <c r="AC35" i="12"/>
  <c r="M36" i="4" s="1"/>
  <c r="AC39" i="12"/>
  <c r="M40" i="4" s="1"/>
  <c r="AC41" i="12"/>
  <c r="M42" i="4" s="1"/>
  <c r="AC45" i="12"/>
  <c r="M46" i="4" s="1"/>
  <c r="AC49" i="12"/>
  <c r="M50" i="4" s="1"/>
  <c r="AC53" i="12"/>
  <c r="M54" i="4" s="1"/>
  <c r="AC57" i="12"/>
  <c r="M58" i="4" s="1"/>
  <c r="AC61" i="12"/>
  <c r="M62" i="4" s="1"/>
  <c r="AC65" i="12"/>
  <c r="M66" i="4" s="1"/>
  <c r="AC69" i="12"/>
  <c r="M70" i="4" s="1"/>
  <c r="AC73" i="12"/>
  <c r="M74" i="4" s="1"/>
  <c r="AC9" i="13"/>
  <c r="N10" i="4" s="1"/>
  <c r="AC13" i="13"/>
  <c r="N14" i="4" s="1"/>
  <c r="AC17" i="13"/>
  <c r="N18" i="4" s="1"/>
  <c r="AC21" i="13"/>
  <c r="N22" i="4" s="1"/>
  <c r="AC25" i="13"/>
  <c r="N26" i="4" s="1"/>
  <c r="AC33" i="13"/>
  <c r="N34" i="4" s="1"/>
  <c r="AC43" i="13"/>
  <c r="N44" i="4" s="1"/>
  <c r="AC47" i="13"/>
  <c r="N48" i="4" s="1"/>
  <c r="AC51" i="13"/>
  <c r="N52" i="4" s="1"/>
  <c r="AC55" i="13"/>
  <c r="N56" i="4" s="1"/>
  <c r="AC59" i="13"/>
  <c r="N60" i="4" s="1"/>
  <c r="AC63" i="13"/>
  <c r="N64" i="4" s="1"/>
  <c r="AC67" i="13"/>
  <c r="N68" i="4" s="1"/>
  <c r="AC71" i="13"/>
  <c r="N72" i="4" s="1"/>
  <c r="I78" i="16"/>
  <c r="G69" i="1"/>
  <c r="H69"/>
  <c r="H63"/>
  <c r="G63"/>
  <c r="O33" i="5"/>
  <c r="P33" s="1"/>
  <c r="O38"/>
  <c r="P38" s="1"/>
  <c r="G76" i="7"/>
  <c r="H45" i="1"/>
  <c r="G45"/>
  <c r="H41"/>
  <c r="G41"/>
  <c r="G71"/>
  <c r="H71"/>
  <c r="O75" i="5"/>
  <c r="P75" s="1"/>
  <c r="C15" i="19"/>
  <c r="L16" i="15"/>
  <c r="C16" i="19"/>
  <c r="L17" i="15"/>
  <c r="C17" i="19"/>
  <c r="L18" i="15"/>
  <c r="C18" i="19"/>
  <c r="L19" i="15"/>
  <c r="C19" i="19"/>
  <c r="L20" i="15"/>
  <c r="C20" i="19"/>
  <c r="L21" i="15"/>
  <c r="C21" i="19"/>
  <c r="L22" i="15"/>
  <c r="C43" i="19"/>
  <c r="L44" i="15"/>
  <c r="C45" i="19"/>
  <c r="L46" i="15"/>
  <c r="C46" i="19"/>
  <c r="E46" s="1"/>
  <c r="L47" i="15"/>
  <c r="C47" i="19"/>
  <c r="L48" i="15"/>
  <c r="C48" i="19"/>
  <c r="E48" s="1"/>
  <c r="L49" i="15"/>
  <c r="C49" i="19"/>
  <c r="L50" i="15"/>
  <c r="C50" i="19"/>
  <c r="E50" s="1"/>
  <c r="L51" i="15"/>
  <c r="C62" i="19"/>
  <c r="E62" s="1"/>
  <c r="L63" i="15"/>
  <c r="C63" i="19"/>
  <c r="L64" i="15"/>
  <c r="C64" i="19"/>
  <c r="E64" s="1"/>
  <c r="L65" i="15"/>
  <c r="C65" i="19"/>
  <c r="L66" i="15"/>
  <c r="C66" i="19"/>
  <c r="E66" s="1"/>
  <c r="L67" i="15"/>
  <c r="C67" i="19"/>
  <c r="L68" i="15"/>
  <c r="C68" i="19"/>
  <c r="E68" s="1"/>
  <c r="L69" i="15"/>
  <c r="C69" i="19"/>
  <c r="L70" i="15"/>
  <c r="C70" i="19"/>
  <c r="E70" s="1"/>
  <c r="L71" i="15"/>
  <c r="C71" i="19"/>
  <c r="L72" i="15"/>
  <c r="C72" i="19"/>
  <c r="E72" s="1"/>
  <c r="L73" i="15"/>
  <c r="I7" i="23"/>
  <c r="I7" i="19"/>
  <c r="F6" i="13"/>
  <c r="F6" i="12"/>
  <c r="I9" i="23"/>
  <c r="I9" i="19"/>
  <c r="F8" i="13"/>
  <c r="F8" i="12"/>
  <c r="I11" i="23"/>
  <c r="I11" i="19"/>
  <c r="F10" i="13"/>
  <c r="F10" i="12"/>
  <c r="I13" i="23"/>
  <c r="I13" i="19"/>
  <c r="F12" i="13"/>
  <c r="F12" i="12"/>
  <c r="I15" i="23"/>
  <c r="I15" i="19"/>
  <c r="F14" i="13"/>
  <c r="F14" i="12"/>
  <c r="E91" i="11"/>
  <c r="I17" i="23"/>
  <c r="I17" i="19"/>
  <c r="F16" i="13"/>
  <c r="F16" i="12"/>
  <c r="I19" i="23"/>
  <c r="I19" i="19"/>
  <c r="F18" i="13"/>
  <c r="F18" i="12"/>
  <c r="I21" i="23"/>
  <c r="I21" i="19"/>
  <c r="F20" i="13"/>
  <c r="F20" i="12"/>
  <c r="I24" i="23"/>
  <c r="I24" i="19"/>
  <c r="F23" i="13"/>
  <c r="F23" i="12"/>
  <c r="I26" i="23"/>
  <c r="I26" i="19"/>
  <c r="F25" i="13"/>
  <c r="F25" i="12"/>
  <c r="I28" i="23"/>
  <c r="I28" i="19"/>
  <c r="F27" i="13"/>
  <c r="F27" i="12"/>
  <c r="I30" i="23"/>
  <c r="I30" i="19"/>
  <c r="F29" i="13"/>
  <c r="F29" i="12"/>
  <c r="I32" i="23"/>
  <c r="I32" i="19"/>
  <c r="F31" i="13"/>
  <c r="F31" i="12"/>
  <c r="I34" i="23"/>
  <c r="I34" i="19"/>
  <c r="F33" i="13"/>
  <c r="F33" i="12"/>
  <c r="I36" i="23"/>
  <c r="I36" i="19"/>
  <c r="F35" i="13"/>
  <c r="F35" i="12"/>
  <c r="I38" i="23"/>
  <c r="I38" i="19"/>
  <c r="F37" i="13"/>
  <c r="F37" i="12"/>
  <c r="I40" i="23"/>
  <c r="I40" i="19"/>
  <c r="F39" i="13"/>
  <c r="F39" i="12"/>
  <c r="I124" i="23"/>
  <c r="I43"/>
  <c r="I43" i="19"/>
  <c r="E62" i="11"/>
  <c r="F62" s="1"/>
  <c r="F42" i="13"/>
  <c r="F42" i="12"/>
  <c r="I46" i="23"/>
  <c r="I46" i="19"/>
  <c r="F45" i="13"/>
  <c r="F45" i="12"/>
  <c r="I48" i="23"/>
  <c r="I48" i="19"/>
  <c r="F47" i="13"/>
  <c r="F47" i="12"/>
  <c r="I125" i="23"/>
  <c r="I117"/>
  <c r="I50"/>
  <c r="I116" i="19"/>
  <c r="I50"/>
  <c r="F49" i="13"/>
  <c r="F49" i="12"/>
  <c r="E63" i="11"/>
  <c r="F63" s="1"/>
  <c r="E44"/>
  <c r="F44" s="1"/>
  <c r="I52" i="23"/>
  <c r="I52" i="19"/>
  <c r="F51" i="13"/>
  <c r="F51" i="12"/>
  <c r="I54" i="23"/>
  <c r="I54" i="19"/>
  <c r="F53" i="13"/>
  <c r="F53" i="12"/>
  <c r="I56" i="23"/>
  <c r="I56" i="19"/>
  <c r="F55" i="13"/>
  <c r="F55" i="12"/>
  <c r="I58" i="23"/>
  <c r="I58" i="19"/>
  <c r="F57" i="13"/>
  <c r="F57" i="12"/>
  <c r="I60" i="23"/>
  <c r="I60" i="19"/>
  <c r="F59" i="13"/>
  <c r="F59" i="12"/>
  <c r="I62" i="23"/>
  <c r="I62" i="19"/>
  <c r="F61" i="13"/>
  <c r="F61" i="12"/>
  <c r="I64" i="23"/>
  <c r="I64" i="19"/>
  <c r="F63" i="13"/>
  <c r="F63" i="12"/>
  <c r="I66" i="23"/>
  <c r="I66" i="19"/>
  <c r="F65" i="13"/>
  <c r="F65" i="12"/>
  <c r="I68" i="23"/>
  <c r="I68" i="19"/>
  <c r="F67" i="13"/>
  <c r="F67" i="12"/>
  <c r="I70" i="23"/>
  <c r="I70" i="19"/>
  <c r="F69" i="13"/>
  <c r="F69" i="12"/>
  <c r="I72" i="23"/>
  <c r="I72" i="19"/>
  <c r="F71" i="13"/>
  <c r="F71" i="12"/>
  <c r="E8" i="11"/>
  <c r="I74" i="23"/>
  <c r="I74" i="19"/>
  <c r="F73" i="13"/>
  <c r="F73" i="12"/>
  <c r="E10" i="11"/>
  <c r="I77" i="23"/>
  <c r="I77" i="19"/>
  <c r="I78" i="23"/>
  <c r="I78" i="19"/>
  <c r="C139"/>
  <c r="C189" s="1"/>
  <c r="C62" i="9"/>
  <c r="C63" s="1"/>
  <c r="C65" s="1"/>
  <c r="Y10" i="10"/>
  <c r="C192" i="19"/>
  <c r="G11" i="10"/>
  <c r="C194" i="19"/>
  <c r="G13" i="10"/>
  <c r="V24" i="11"/>
  <c r="Z26"/>
  <c r="AA26" s="1"/>
  <c r="V26"/>
  <c r="V69"/>
  <c r="V67"/>
  <c r="AD9" i="12"/>
  <c r="AD13"/>
  <c r="AD17"/>
  <c r="AD21"/>
  <c r="AD25"/>
  <c r="AD29"/>
  <c r="AD33"/>
  <c r="AD37"/>
  <c r="AD43"/>
  <c r="AD47"/>
  <c r="AD51"/>
  <c r="AD55"/>
  <c r="AD59"/>
  <c r="AD63"/>
  <c r="AD67"/>
  <c r="AD71"/>
  <c r="AD61" i="13"/>
  <c r="AD65"/>
  <c r="AD69"/>
  <c r="G35" i="1"/>
  <c r="H44"/>
  <c r="G70"/>
  <c r="G72"/>
  <c r="H8" i="2"/>
  <c r="H10"/>
  <c r="G11"/>
  <c r="G76" s="1"/>
  <c r="H12"/>
  <c r="G13"/>
  <c r="G15"/>
  <c r="G16"/>
  <c r="H17"/>
  <c r="H19"/>
  <c r="H21"/>
  <c r="H23"/>
  <c r="H25"/>
  <c r="H27"/>
  <c r="H29"/>
  <c r="H31"/>
  <c r="H34"/>
  <c r="H36"/>
  <c r="H40"/>
  <c r="H42"/>
  <c r="H45"/>
  <c r="H46"/>
  <c r="H48"/>
  <c r="H50"/>
  <c r="H51"/>
  <c r="H52"/>
  <c r="H53"/>
  <c r="H56"/>
  <c r="H58"/>
  <c r="H59"/>
  <c r="H61"/>
  <c r="H64"/>
  <c r="H66"/>
  <c r="H68"/>
  <c r="H70"/>
  <c r="H72"/>
  <c r="Q16" i="5"/>
  <c r="Q17"/>
  <c r="Q18"/>
  <c r="Q19"/>
  <c r="Q20"/>
  <c r="Q21"/>
  <c r="Q22"/>
  <c r="Q23"/>
  <c r="L24"/>
  <c r="M24" s="1"/>
  <c r="N24" s="1"/>
  <c r="O24" s="1"/>
  <c r="P24" s="1"/>
  <c r="Q44"/>
  <c r="Q45"/>
  <c r="Q46"/>
  <c r="Q47"/>
  <c r="Q48"/>
  <c r="Q49"/>
  <c r="Q50"/>
  <c r="Q51"/>
  <c r="Q52"/>
  <c r="L53"/>
  <c r="M53" s="1"/>
  <c r="N53" s="1"/>
  <c r="O53" s="1"/>
  <c r="P53" s="1"/>
  <c r="Q63"/>
  <c r="Q64"/>
  <c r="Q65"/>
  <c r="Q66"/>
  <c r="Q67"/>
  <c r="Q68"/>
  <c r="Q69"/>
  <c r="Q70"/>
  <c r="Q71"/>
  <c r="Q72"/>
  <c r="Q73"/>
  <c r="L74"/>
  <c r="M74" s="1"/>
  <c r="N74" s="1"/>
  <c r="O74" s="1"/>
  <c r="P74" s="1"/>
  <c r="D77"/>
  <c r="Q77"/>
  <c r="E9" i="1" s="1"/>
  <c r="M6" i="6"/>
  <c r="G7"/>
  <c r="H7" s="1"/>
  <c r="M8"/>
  <c r="N8" s="1"/>
  <c r="G9"/>
  <c r="H9" s="1"/>
  <c r="M10"/>
  <c r="N10" s="1"/>
  <c r="G11"/>
  <c r="H11" s="1"/>
  <c r="M12"/>
  <c r="N12" s="1"/>
  <c r="G13"/>
  <c r="H13" s="1"/>
  <c r="M14"/>
  <c r="N14" s="1"/>
  <c r="G15"/>
  <c r="H15" s="1"/>
  <c r="I15"/>
  <c r="M16"/>
  <c r="N16" s="1"/>
  <c r="Q16"/>
  <c r="G17"/>
  <c r="H17" s="1"/>
  <c r="I17"/>
  <c r="M18"/>
  <c r="N18" s="1"/>
  <c r="Q18"/>
  <c r="G19"/>
  <c r="H19" s="1"/>
  <c r="I19"/>
  <c r="M20"/>
  <c r="N20" s="1"/>
  <c r="Q20"/>
  <c r="G21"/>
  <c r="H21" s="1"/>
  <c r="I21"/>
  <c r="M22"/>
  <c r="N22" s="1"/>
  <c r="M23"/>
  <c r="N23" s="1"/>
  <c r="G24"/>
  <c r="H24" s="1"/>
  <c r="M25"/>
  <c r="N25" s="1"/>
  <c r="G26"/>
  <c r="H26" s="1"/>
  <c r="M27"/>
  <c r="N27" s="1"/>
  <c r="G28"/>
  <c r="H28" s="1"/>
  <c r="M29"/>
  <c r="N29" s="1"/>
  <c r="G30"/>
  <c r="H30" s="1"/>
  <c r="M31"/>
  <c r="N31" s="1"/>
  <c r="G32"/>
  <c r="H32" s="1"/>
  <c r="M33"/>
  <c r="N33" s="1"/>
  <c r="G34"/>
  <c r="H34" s="1"/>
  <c r="M35"/>
  <c r="N35" s="1"/>
  <c r="G36"/>
  <c r="H36" s="1"/>
  <c r="M37"/>
  <c r="N37" s="1"/>
  <c r="G38"/>
  <c r="H38" s="1"/>
  <c r="M39"/>
  <c r="N39" s="1"/>
  <c r="G40"/>
  <c r="H40" s="1"/>
  <c r="M41"/>
  <c r="N41" s="1"/>
  <c r="M42"/>
  <c r="N42" s="1"/>
  <c r="G43"/>
  <c r="H43" s="1"/>
  <c r="M44"/>
  <c r="N44" s="1"/>
  <c r="M45"/>
  <c r="N45" s="1"/>
  <c r="Q45"/>
  <c r="G46"/>
  <c r="H46" s="1"/>
  <c r="I46"/>
  <c r="M47"/>
  <c r="N47" s="1"/>
  <c r="Q47"/>
  <c r="G48"/>
  <c r="H48" s="1"/>
  <c r="I48"/>
  <c r="M49"/>
  <c r="N49" s="1"/>
  <c r="Q49"/>
  <c r="G50"/>
  <c r="H50" s="1"/>
  <c r="M51"/>
  <c r="N51" s="1"/>
  <c r="G52"/>
  <c r="H52" s="1"/>
  <c r="M53"/>
  <c r="N53" s="1"/>
  <c r="G54"/>
  <c r="H54" s="1"/>
  <c r="M55"/>
  <c r="N55" s="1"/>
  <c r="G56"/>
  <c r="H56" s="1"/>
  <c r="M57"/>
  <c r="N57" s="1"/>
  <c r="G58"/>
  <c r="H58" s="1"/>
  <c r="M59"/>
  <c r="N59" s="1"/>
  <c r="G60"/>
  <c r="H60" s="1"/>
  <c r="M61"/>
  <c r="N61" s="1"/>
  <c r="G62"/>
  <c r="H62" s="1"/>
  <c r="I62"/>
  <c r="M63"/>
  <c r="N63" s="1"/>
  <c r="Q63"/>
  <c r="G64"/>
  <c r="H64" s="1"/>
  <c r="I64"/>
  <c r="M65"/>
  <c r="N65" s="1"/>
  <c r="Q65"/>
  <c r="G66"/>
  <c r="H66" s="1"/>
  <c r="I66"/>
  <c r="M67"/>
  <c r="N67" s="1"/>
  <c r="Q67"/>
  <c r="G68"/>
  <c r="H68" s="1"/>
  <c r="M69"/>
  <c r="N69" s="1"/>
  <c r="Q69"/>
  <c r="G70"/>
  <c r="H70" s="1"/>
  <c r="I70"/>
  <c r="M71"/>
  <c r="N71" s="1"/>
  <c r="Q71"/>
  <c r="G72"/>
  <c r="H72" s="1"/>
  <c r="I72"/>
  <c r="M73"/>
  <c r="N73" s="1"/>
  <c r="G74"/>
  <c r="H74" s="1"/>
  <c r="F75"/>
  <c r="G75" i="7"/>
  <c r="U77" i="11" s="1"/>
  <c r="U79" s="1"/>
  <c r="O63" i="9"/>
  <c r="O65" s="1"/>
  <c r="AA15" i="10"/>
  <c r="X25" i="11"/>
  <c r="E26"/>
  <c r="AA46"/>
  <c r="AB6" i="12"/>
  <c r="AB10"/>
  <c r="AB14"/>
  <c r="AB18"/>
  <c r="AB26"/>
  <c r="AB30"/>
  <c r="AB34"/>
  <c r="AB38"/>
  <c r="AB44"/>
  <c r="AB52"/>
  <c r="AB56"/>
  <c r="AB64"/>
  <c r="AB8" i="13"/>
  <c r="AB12"/>
  <c r="AB16"/>
  <c r="AB20"/>
  <c r="AB24"/>
  <c r="C6" i="19"/>
  <c r="L7" i="15"/>
  <c r="C7" i="19"/>
  <c r="L8" i="15"/>
  <c r="C8" i="19"/>
  <c r="L9" i="15"/>
  <c r="C9" i="19"/>
  <c r="L10" i="15"/>
  <c r="C10" i="19"/>
  <c r="L11" i="15"/>
  <c r="C11" i="19"/>
  <c r="L12" i="15"/>
  <c r="C12" i="19"/>
  <c r="L13" i="15"/>
  <c r="C13" i="19"/>
  <c r="L14" i="15"/>
  <c r="C23" i="19"/>
  <c r="L24" i="15"/>
  <c r="C24" i="19"/>
  <c r="L25" i="15"/>
  <c r="C25" i="19"/>
  <c r="L26" i="15"/>
  <c r="C26" i="19"/>
  <c r="L27" i="15"/>
  <c r="C27" i="19"/>
  <c r="L28" i="15"/>
  <c r="C28" i="19"/>
  <c r="L29" i="15"/>
  <c r="C29" i="19"/>
  <c r="L30" i="15"/>
  <c r="C30" i="19"/>
  <c r="L31" i="15"/>
  <c r="C31" i="19"/>
  <c r="L32" i="15"/>
  <c r="C32" i="19"/>
  <c r="L33" i="15"/>
  <c r="C33" i="19"/>
  <c r="L34" i="15"/>
  <c r="C34" i="19"/>
  <c r="E34" s="1"/>
  <c r="L35" i="15"/>
  <c r="C35" i="19"/>
  <c r="L36" i="15"/>
  <c r="C36" i="19"/>
  <c r="E36" s="1"/>
  <c r="L37" i="15"/>
  <c r="C37" i="19"/>
  <c r="L38" i="15"/>
  <c r="C38" i="19"/>
  <c r="E38" s="1"/>
  <c r="L39" i="15"/>
  <c r="C39" i="19"/>
  <c r="L40" i="15"/>
  <c r="C40" i="19"/>
  <c r="E40" s="1"/>
  <c r="L41" i="15"/>
  <c r="C42" i="19"/>
  <c r="E42" s="1"/>
  <c r="L43" i="15"/>
  <c r="C52" i="19"/>
  <c r="E52" s="1"/>
  <c r="L53" i="15"/>
  <c r="C53" i="19"/>
  <c r="L54" i="15"/>
  <c r="C54" i="19"/>
  <c r="E54" s="1"/>
  <c r="L55" i="15"/>
  <c r="C55" i="19"/>
  <c r="L56" i="15"/>
  <c r="C56" i="19"/>
  <c r="E56" s="1"/>
  <c r="L57" i="15"/>
  <c r="C57" i="19"/>
  <c r="L58" i="15"/>
  <c r="C58" i="19"/>
  <c r="E58" s="1"/>
  <c r="L59" i="15"/>
  <c r="C59" i="19"/>
  <c r="L60" i="15"/>
  <c r="C60" i="19"/>
  <c r="E60" s="1"/>
  <c r="L61" i="15"/>
  <c r="C61" i="19"/>
  <c r="L62" i="15"/>
  <c r="C73" i="19"/>
  <c r="L74" i="15"/>
  <c r="C74" i="19"/>
  <c r="E74" s="1"/>
  <c r="L75" i="15"/>
  <c r="I6" i="23"/>
  <c r="I6" i="19"/>
  <c r="F5" i="13"/>
  <c r="F5" i="12"/>
  <c r="I8" i="23"/>
  <c r="I8" i="19"/>
  <c r="F7" i="13"/>
  <c r="F7" i="12"/>
  <c r="I10" i="23"/>
  <c r="I10" i="19"/>
  <c r="F9" i="13"/>
  <c r="F9" i="12"/>
  <c r="I12" i="23"/>
  <c r="I12" i="19"/>
  <c r="F11" i="13"/>
  <c r="F11" i="12"/>
  <c r="F13" i="13"/>
  <c r="F13" i="12"/>
  <c r="I16" i="23"/>
  <c r="I16" i="19"/>
  <c r="F15" i="13"/>
  <c r="F15" i="12"/>
  <c r="I18" i="23"/>
  <c r="I18" i="19"/>
  <c r="F17" i="13"/>
  <c r="F17" i="12"/>
  <c r="I20" i="23"/>
  <c r="I20" i="19"/>
  <c r="F19" i="13"/>
  <c r="F19" i="12"/>
  <c r="I23" i="23"/>
  <c r="I23" i="19"/>
  <c r="F22" i="13"/>
  <c r="F22" i="12"/>
  <c r="I25" i="23"/>
  <c r="I25" i="19"/>
  <c r="F24" i="13"/>
  <c r="F24" i="12"/>
  <c r="I27" i="23"/>
  <c r="I27" i="19"/>
  <c r="F26" i="13"/>
  <c r="F26" i="12"/>
  <c r="I29" i="23"/>
  <c r="I29" i="19"/>
  <c r="F28" i="13"/>
  <c r="F28" i="12"/>
  <c r="I130" i="23"/>
  <c r="I123"/>
  <c r="I31"/>
  <c r="I122" i="19"/>
  <c r="I31"/>
  <c r="I126"/>
  <c r="E61" i="11"/>
  <c r="F61" s="1"/>
  <c r="F30" i="13"/>
  <c r="F30" i="12"/>
  <c r="E78" i="11"/>
  <c r="F78" s="1"/>
  <c r="E42"/>
  <c r="I33" i="23"/>
  <c r="I33" i="19"/>
  <c r="F32" i="13"/>
  <c r="F32" i="12"/>
  <c r="I35" i="23"/>
  <c r="I35" i="19"/>
  <c r="F34" i="13"/>
  <c r="F34" i="12"/>
  <c r="I102" i="23"/>
  <c r="I37"/>
  <c r="I37" i="19"/>
  <c r="E7" i="11"/>
  <c r="F7" s="1"/>
  <c r="F36" i="13"/>
  <c r="F36" i="12"/>
  <c r="I39" i="23"/>
  <c r="I39" i="19"/>
  <c r="F38" i="13"/>
  <c r="F38" i="12"/>
  <c r="I42" i="23"/>
  <c r="I42" i="19"/>
  <c r="F41" i="13"/>
  <c r="F41" i="12"/>
  <c r="I45" i="23"/>
  <c r="I45" i="19"/>
  <c r="F44" i="13"/>
  <c r="F44" i="12"/>
  <c r="I47" i="23"/>
  <c r="I47" i="19"/>
  <c r="F46" i="13"/>
  <c r="F46" i="12"/>
  <c r="I49" i="23"/>
  <c r="I116"/>
  <c r="I115" i="19"/>
  <c r="I49"/>
  <c r="F48" i="13"/>
  <c r="F48" i="12"/>
  <c r="E43" i="11"/>
  <c r="F43" s="1"/>
  <c r="F50" i="13"/>
  <c r="F50" i="12"/>
  <c r="I53" i="23"/>
  <c r="I118"/>
  <c r="I117" i="19"/>
  <c r="I53"/>
  <c r="F52" i="13"/>
  <c r="F52" i="12"/>
  <c r="E45" i="11"/>
  <c r="F45" s="1"/>
  <c r="I55" i="23"/>
  <c r="I55" i="19"/>
  <c r="F54" i="13"/>
  <c r="F54" i="12"/>
  <c r="I126" i="23"/>
  <c r="I57"/>
  <c r="I57" i="19"/>
  <c r="E64" i="11"/>
  <c r="F64" s="1"/>
  <c r="F56" i="13"/>
  <c r="F56" i="12"/>
  <c r="E46" i="11"/>
  <c r="I59" i="23"/>
  <c r="I59" i="19"/>
  <c r="F58" i="13"/>
  <c r="F58" i="12"/>
  <c r="I61" i="23"/>
  <c r="I61" i="19"/>
  <c r="F60" i="13"/>
  <c r="E24" i="11"/>
  <c r="F60" i="12"/>
  <c r="I63" i="23"/>
  <c r="I63" i="19"/>
  <c r="F62" i="13"/>
  <c r="F62" i="12"/>
  <c r="I65" i="23"/>
  <c r="I65" i="19"/>
  <c r="F64" i="13"/>
  <c r="F64" i="12"/>
  <c r="I67" i="23"/>
  <c r="I67" i="19"/>
  <c r="F66" i="13"/>
  <c r="F66" i="12"/>
  <c r="I69" i="23"/>
  <c r="I69" i="19"/>
  <c r="F68" i="13"/>
  <c r="F68" i="12"/>
  <c r="I71" i="23"/>
  <c r="I71" i="19"/>
  <c r="F70" i="13"/>
  <c r="F70" i="12"/>
  <c r="I73" i="23"/>
  <c r="I73" i="19"/>
  <c r="F72" i="13"/>
  <c r="E9" i="11"/>
  <c r="F72" i="12"/>
  <c r="F78" i="19"/>
  <c r="G78"/>
  <c r="C193"/>
  <c r="G12" i="10"/>
  <c r="AC14"/>
  <c r="Y14"/>
  <c r="AC15"/>
  <c r="Y15"/>
  <c r="C196" i="19"/>
  <c r="G17" i="10"/>
  <c r="Y23"/>
  <c r="C14" i="19"/>
  <c r="G26" i="10"/>
  <c r="C133" i="19"/>
  <c r="C137" s="1"/>
  <c r="C30" i="10"/>
  <c r="C31" s="1"/>
  <c r="G28"/>
  <c r="G30" s="1"/>
  <c r="AC28"/>
  <c r="Y28"/>
  <c r="Y29"/>
  <c r="V6" i="11"/>
  <c r="Z25"/>
  <c r="V25"/>
  <c r="AC43"/>
  <c r="AD43" s="1"/>
  <c r="AF43" s="1"/>
  <c r="AH43" s="1"/>
  <c r="AI43" s="1"/>
  <c r="H49" i="3" s="1"/>
  <c r="AC44" i="11"/>
  <c r="AD44" s="1"/>
  <c r="AF44" s="1"/>
  <c r="AH44" s="1"/>
  <c r="AI44" s="1"/>
  <c r="H50" i="3" s="1"/>
  <c r="AC45" i="11"/>
  <c r="AD45" s="1"/>
  <c r="AF45" s="1"/>
  <c r="AH45" s="1"/>
  <c r="AI45" s="1"/>
  <c r="H53" i="3" s="1"/>
  <c r="AD7" i="12"/>
  <c r="AE7" s="1"/>
  <c r="AG7" s="1"/>
  <c r="AD11"/>
  <c r="AE11" s="1"/>
  <c r="AG11" s="1"/>
  <c r="AD15"/>
  <c r="AE15" s="1"/>
  <c r="AG15" s="1"/>
  <c r="AD19"/>
  <c r="AE19" s="1"/>
  <c r="AG19" s="1"/>
  <c r="AD23"/>
  <c r="AE23" s="1"/>
  <c r="AG23" s="1"/>
  <c r="AD27"/>
  <c r="AE27" s="1"/>
  <c r="AG27" s="1"/>
  <c r="AD31"/>
  <c r="AE31" s="1"/>
  <c r="AG31" s="1"/>
  <c r="AD35"/>
  <c r="AE35" s="1"/>
  <c r="AG35" s="1"/>
  <c r="AD39"/>
  <c r="AE39" s="1"/>
  <c r="AG39" s="1"/>
  <c r="AD41"/>
  <c r="AE41" s="1"/>
  <c r="AG41" s="1"/>
  <c r="AD45"/>
  <c r="AE45" s="1"/>
  <c r="AG45" s="1"/>
  <c r="AD49"/>
  <c r="AE49" s="1"/>
  <c r="AG49" s="1"/>
  <c r="AD53"/>
  <c r="AE53" s="1"/>
  <c r="AG53" s="1"/>
  <c r="AD57"/>
  <c r="AE57" s="1"/>
  <c r="AG57" s="1"/>
  <c r="AD61"/>
  <c r="AE61" s="1"/>
  <c r="AG61" s="1"/>
  <c r="AD65"/>
  <c r="AE65" s="1"/>
  <c r="AG65" s="1"/>
  <c r="AD69"/>
  <c r="AE69" s="1"/>
  <c r="AG69" s="1"/>
  <c r="AD73"/>
  <c r="AE73" s="1"/>
  <c r="AG73" s="1"/>
  <c r="AD9" i="13"/>
  <c r="AE9" s="1"/>
  <c r="AG9" s="1"/>
  <c r="AD13"/>
  <c r="AE13" s="1"/>
  <c r="AG13" s="1"/>
  <c r="AD17"/>
  <c r="AE17" s="1"/>
  <c r="AG17" s="1"/>
  <c r="AD21"/>
  <c r="AE21" s="1"/>
  <c r="AG21" s="1"/>
  <c r="AD25"/>
  <c r="AE25" s="1"/>
  <c r="AG25" s="1"/>
  <c r="AD33"/>
  <c r="AE33" s="1"/>
  <c r="AG33" s="1"/>
  <c r="AD43"/>
  <c r="AE43" s="1"/>
  <c r="AG43" s="1"/>
  <c r="AD47"/>
  <c r="AE47" s="1"/>
  <c r="AG47" s="1"/>
  <c r="AD51"/>
  <c r="AE51" s="1"/>
  <c r="AG51" s="1"/>
  <c r="AD55"/>
  <c r="AE55" s="1"/>
  <c r="AG55" s="1"/>
  <c r="AD59"/>
  <c r="AE59" s="1"/>
  <c r="AG59" s="1"/>
  <c r="AD63"/>
  <c r="AE63" s="1"/>
  <c r="AG63" s="1"/>
  <c r="AD67"/>
  <c r="AE67" s="1"/>
  <c r="AG67" s="1"/>
  <c r="AD71"/>
  <c r="AE71" s="1"/>
  <c r="AG71" s="1"/>
  <c r="H7" i="2"/>
  <c r="H76" s="1"/>
  <c r="O8" i="5"/>
  <c r="Q8"/>
  <c r="Q9"/>
  <c r="R9" s="1"/>
  <c r="Q10"/>
  <c r="R10" s="1"/>
  <c r="Q11"/>
  <c r="R11" s="1"/>
  <c r="Q12"/>
  <c r="R12" s="1"/>
  <c r="Q13"/>
  <c r="R13" s="1"/>
  <c r="Q14"/>
  <c r="R14" s="1"/>
  <c r="Q15"/>
  <c r="R15" s="1"/>
  <c r="L16"/>
  <c r="M16" s="1"/>
  <c r="N16" s="1"/>
  <c r="L17"/>
  <c r="M17" s="1"/>
  <c r="N17" s="1"/>
  <c r="O17" s="1"/>
  <c r="P17" s="1"/>
  <c r="L18"/>
  <c r="M18" s="1"/>
  <c r="N18" s="1"/>
  <c r="O18" s="1"/>
  <c r="P18" s="1"/>
  <c r="L19"/>
  <c r="M19" s="1"/>
  <c r="N19" s="1"/>
  <c r="O19" s="1"/>
  <c r="P19" s="1"/>
  <c r="L20"/>
  <c r="M20" s="1"/>
  <c r="N20" s="1"/>
  <c r="O20" s="1"/>
  <c r="P20" s="1"/>
  <c r="L21"/>
  <c r="M21" s="1"/>
  <c r="N21" s="1"/>
  <c r="O21" s="1"/>
  <c r="P21" s="1"/>
  <c r="L22"/>
  <c r="M22" s="1"/>
  <c r="N22" s="1"/>
  <c r="O22" s="1"/>
  <c r="P22" s="1"/>
  <c r="L23"/>
  <c r="M23" s="1"/>
  <c r="N23" s="1"/>
  <c r="O23" s="1"/>
  <c r="P23" s="1"/>
  <c r="Q24"/>
  <c r="Q25"/>
  <c r="R25" s="1"/>
  <c r="Q26"/>
  <c r="R26" s="1"/>
  <c r="Q27"/>
  <c r="R27" s="1"/>
  <c r="Q28"/>
  <c r="R28" s="1"/>
  <c r="Q29"/>
  <c r="R29" s="1"/>
  <c r="Q30"/>
  <c r="R30" s="1"/>
  <c r="Q31"/>
  <c r="R31" s="1"/>
  <c r="Q32"/>
  <c r="R32" s="1"/>
  <c r="Q33"/>
  <c r="Q34"/>
  <c r="R34" s="1"/>
  <c r="Q35"/>
  <c r="R35" s="1"/>
  <c r="Q36"/>
  <c r="R36" s="1"/>
  <c r="Q37"/>
  <c r="R37" s="1"/>
  <c r="Q38"/>
  <c r="Q39"/>
  <c r="R39" s="1"/>
  <c r="Q40"/>
  <c r="R40" s="1"/>
  <c r="Q41"/>
  <c r="Q42"/>
  <c r="Q43"/>
  <c r="L44"/>
  <c r="M44" s="1"/>
  <c r="N44" s="1"/>
  <c r="O44" s="1"/>
  <c r="P44" s="1"/>
  <c r="L45"/>
  <c r="M45" s="1"/>
  <c r="N45" s="1"/>
  <c r="O45" s="1"/>
  <c r="P45" s="1"/>
  <c r="L46"/>
  <c r="M46" s="1"/>
  <c r="N46" s="1"/>
  <c r="O46" s="1"/>
  <c r="P46" s="1"/>
  <c r="L47"/>
  <c r="M47" s="1"/>
  <c r="N47" s="1"/>
  <c r="O47" s="1"/>
  <c r="P47" s="1"/>
  <c r="L48"/>
  <c r="M48" s="1"/>
  <c r="N48" s="1"/>
  <c r="O48" s="1"/>
  <c r="P48" s="1"/>
  <c r="L49"/>
  <c r="M49" s="1"/>
  <c r="N49" s="1"/>
  <c r="O49" s="1"/>
  <c r="P49" s="1"/>
  <c r="L50"/>
  <c r="M50" s="1"/>
  <c r="N50" s="1"/>
  <c r="O50" s="1"/>
  <c r="P50" s="1"/>
  <c r="L51"/>
  <c r="M51" s="1"/>
  <c r="N51" s="1"/>
  <c r="O51" s="1"/>
  <c r="P51" s="1"/>
  <c r="L52"/>
  <c r="M52" s="1"/>
  <c r="N52" s="1"/>
  <c r="O52" s="1"/>
  <c r="P52" s="1"/>
  <c r="Q53"/>
  <c r="Q54"/>
  <c r="R54" s="1"/>
  <c r="Q55"/>
  <c r="Q56"/>
  <c r="Q57"/>
  <c r="Q58"/>
  <c r="Q59"/>
  <c r="Q60"/>
  <c r="Q61"/>
  <c r="Q62"/>
  <c r="L63"/>
  <c r="M63" s="1"/>
  <c r="N63" s="1"/>
  <c r="O63" s="1"/>
  <c r="P63" s="1"/>
  <c r="L64"/>
  <c r="M64" s="1"/>
  <c r="N64" s="1"/>
  <c r="O64" s="1"/>
  <c r="P64" s="1"/>
  <c r="L65"/>
  <c r="M65" s="1"/>
  <c r="N65" s="1"/>
  <c r="O65" s="1"/>
  <c r="P65" s="1"/>
  <c r="L66"/>
  <c r="M66" s="1"/>
  <c r="N66" s="1"/>
  <c r="O66" s="1"/>
  <c r="P66" s="1"/>
  <c r="L67"/>
  <c r="M67" s="1"/>
  <c r="N67" s="1"/>
  <c r="O67" s="1"/>
  <c r="P67" s="1"/>
  <c r="L68"/>
  <c r="M68" s="1"/>
  <c r="N68" s="1"/>
  <c r="O68" s="1"/>
  <c r="P68" s="1"/>
  <c r="L69"/>
  <c r="M69" s="1"/>
  <c r="N69" s="1"/>
  <c r="O69" s="1"/>
  <c r="P69" s="1"/>
  <c r="L70"/>
  <c r="M70" s="1"/>
  <c r="N70" s="1"/>
  <c r="O70" s="1"/>
  <c r="P70" s="1"/>
  <c r="L71"/>
  <c r="M71" s="1"/>
  <c r="N71" s="1"/>
  <c r="O71" s="1"/>
  <c r="P71" s="1"/>
  <c r="L72"/>
  <c r="M72" s="1"/>
  <c r="N72" s="1"/>
  <c r="O72" s="1"/>
  <c r="P72" s="1"/>
  <c r="L73"/>
  <c r="M73" s="1"/>
  <c r="N73" s="1"/>
  <c r="O73" s="1"/>
  <c r="P73" s="1"/>
  <c r="Q74"/>
  <c r="Q75"/>
  <c r="E76"/>
  <c r="O76" s="1"/>
  <c r="P76" s="1"/>
  <c r="C77"/>
  <c r="E12" i="1" s="1"/>
  <c r="G6" i="6"/>
  <c r="M7"/>
  <c r="N7" s="1"/>
  <c r="Q7"/>
  <c r="M9"/>
  <c r="N9" s="1"/>
  <c r="Q9"/>
  <c r="M11"/>
  <c r="N11" s="1"/>
  <c r="Q11"/>
  <c r="M13"/>
  <c r="N13" s="1"/>
  <c r="Q13"/>
  <c r="M15"/>
  <c r="N15" s="1"/>
  <c r="Q15"/>
  <c r="M17"/>
  <c r="N17" s="1"/>
  <c r="Q17"/>
  <c r="M19"/>
  <c r="N19" s="1"/>
  <c r="Q19"/>
  <c r="M21"/>
  <c r="N21" s="1"/>
  <c r="Q21"/>
  <c r="M24"/>
  <c r="N24" s="1"/>
  <c r="Q24"/>
  <c r="M26"/>
  <c r="N26" s="1"/>
  <c r="Q26"/>
  <c r="M28"/>
  <c r="N28" s="1"/>
  <c r="Q28"/>
  <c r="M30"/>
  <c r="N30" s="1"/>
  <c r="Q30"/>
  <c r="M32"/>
  <c r="N32" s="1"/>
  <c r="Q32"/>
  <c r="M34"/>
  <c r="N34" s="1"/>
  <c r="Q34"/>
  <c r="M36"/>
  <c r="N36" s="1"/>
  <c r="Q36"/>
  <c r="M38"/>
  <c r="N38" s="1"/>
  <c r="Q38"/>
  <c r="M40"/>
  <c r="N40" s="1"/>
  <c r="Q40"/>
  <c r="M43"/>
  <c r="N43" s="1"/>
  <c r="Q43"/>
  <c r="M46"/>
  <c r="N46" s="1"/>
  <c r="Q46"/>
  <c r="M48"/>
  <c r="N48" s="1"/>
  <c r="Q48"/>
  <c r="M50"/>
  <c r="N50" s="1"/>
  <c r="Q50"/>
  <c r="M52"/>
  <c r="N52" s="1"/>
  <c r="Q52"/>
  <c r="M54"/>
  <c r="N54" s="1"/>
  <c r="Q54"/>
  <c r="M56"/>
  <c r="N56" s="1"/>
  <c r="Q56"/>
  <c r="M58"/>
  <c r="N58" s="1"/>
  <c r="Q58"/>
  <c r="M60"/>
  <c r="N60" s="1"/>
  <c r="Q60"/>
  <c r="M62"/>
  <c r="N62" s="1"/>
  <c r="Q62"/>
  <c r="M64"/>
  <c r="N64" s="1"/>
  <c r="Q64"/>
  <c r="M66"/>
  <c r="N66" s="1"/>
  <c r="Q66"/>
  <c r="M68"/>
  <c r="N68" s="1"/>
  <c r="Q68"/>
  <c r="M70"/>
  <c r="N70" s="1"/>
  <c r="Q70"/>
  <c r="M72"/>
  <c r="N72" s="1"/>
  <c r="Q72"/>
  <c r="M74"/>
  <c r="N74" s="1"/>
  <c r="Q74"/>
  <c r="G4" i="7"/>
  <c r="F8" i="8"/>
  <c r="F9"/>
  <c r="B10"/>
  <c r="E13" i="1" s="1"/>
  <c r="G6" i="9"/>
  <c r="G8"/>
  <c r="G11"/>
  <c r="G12"/>
  <c r="G13"/>
  <c r="G14"/>
  <c r="G15"/>
  <c r="G16"/>
  <c r="G17"/>
  <c r="G18"/>
  <c r="G19"/>
  <c r="G20"/>
  <c r="G21"/>
  <c r="G22"/>
  <c r="G23"/>
  <c r="G24"/>
  <c r="G25"/>
  <c r="G26"/>
  <c r="G27"/>
  <c r="G28"/>
  <c r="G40"/>
  <c r="G41"/>
  <c r="G42"/>
  <c r="G43"/>
  <c r="G44"/>
  <c r="G45"/>
  <c r="G46"/>
  <c r="G47"/>
  <c r="G48"/>
  <c r="G49"/>
  <c r="G50"/>
  <c r="G51"/>
  <c r="G52"/>
  <c r="G53"/>
  <c r="G54"/>
  <c r="G55"/>
  <c r="Y11" i="10"/>
  <c r="Y13"/>
  <c r="E25" i="11"/>
  <c r="F65"/>
  <c r="F69" s="1"/>
  <c r="AC78"/>
  <c r="AB8" i="12"/>
  <c r="AB12"/>
  <c r="AB16"/>
  <c r="AB20"/>
  <c r="AB24"/>
  <c r="AB28"/>
  <c r="AB32"/>
  <c r="AB42"/>
  <c r="AB46"/>
  <c r="AB50"/>
  <c r="AB54"/>
  <c r="AB58"/>
  <c r="AB62"/>
  <c r="AB66"/>
  <c r="AB70"/>
  <c r="AB6" i="13"/>
  <c r="AB10"/>
  <c r="AB14"/>
  <c r="AB18"/>
  <c r="AB22"/>
  <c r="AB26"/>
  <c r="AB30"/>
  <c r="AB34"/>
  <c r="AB38"/>
  <c r="AB40"/>
  <c r="AB44"/>
  <c r="AB48"/>
  <c r="AB52"/>
  <c r="AB56"/>
  <c r="I114" i="23"/>
  <c r="I113" i="19"/>
  <c r="I129" i="23"/>
  <c r="I125" i="19"/>
  <c r="I41" i="24"/>
  <c r="I41" i="20"/>
  <c r="I41" i="25"/>
  <c r="I41" i="21"/>
  <c r="AD73" i="13"/>
  <c r="AE73"/>
  <c r="AG73" s="1"/>
  <c r="AQ10" i="17"/>
  <c r="AD10"/>
  <c r="C11" i="16"/>
  <c r="AO10" i="17"/>
  <c r="AM10"/>
  <c r="G11" i="16" s="1"/>
  <c r="H11" s="1"/>
  <c r="AN10" i="17"/>
  <c r="AL10"/>
  <c r="AQ12"/>
  <c r="AD12"/>
  <c r="C13" i="16"/>
  <c r="AO12" i="17"/>
  <c r="AM12"/>
  <c r="G13" i="16" s="1"/>
  <c r="H13" s="1"/>
  <c r="AN12" i="17"/>
  <c r="AL12"/>
  <c r="AQ14"/>
  <c r="AD14"/>
  <c r="C15" i="16"/>
  <c r="AO14" i="17"/>
  <c r="AM14"/>
  <c r="G15" i="16" s="1"/>
  <c r="H15" s="1"/>
  <c r="AN14" i="17"/>
  <c r="AL14"/>
  <c r="AQ16"/>
  <c r="AD16"/>
  <c r="C17" i="16"/>
  <c r="AO16" i="17"/>
  <c r="AM16"/>
  <c r="G17" i="16" s="1"/>
  <c r="H17" s="1"/>
  <c r="AN16" i="17"/>
  <c r="AL16"/>
  <c r="AQ18"/>
  <c r="AD18"/>
  <c r="C19" i="16"/>
  <c r="AO18" i="17"/>
  <c r="AM18"/>
  <c r="G19" i="16" s="1"/>
  <c r="H19" s="1"/>
  <c r="AN18" i="17"/>
  <c r="AL18"/>
  <c r="AQ20"/>
  <c r="AD20"/>
  <c r="C21" i="16"/>
  <c r="AQ22" i="17"/>
  <c r="AD22"/>
  <c r="C23" i="16"/>
  <c r="AQ24" i="17"/>
  <c r="AD24"/>
  <c r="C25" i="16"/>
  <c r="AQ26" i="17"/>
  <c r="AD26"/>
  <c r="C27" i="16"/>
  <c r="AQ28" i="17"/>
  <c r="AD28"/>
  <c r="C29" i="16"/>
  <c r="AQ30" i="17"/>
  <c r="AD30"/>
  <c r="C31" i="16"/>
  <c r="AQ32" i="17"/>
  <c r="AD32"/>
  <c r="C33" i="16"/>
  <c r="AQ34" i="17"/>
  <c r="AD34"/>
  <c r="C35" i="16"/>
  <c r="AQ36" i="17"/>
  <c r="AD36"/>
  <c r="C37" i="16"/>
  <c r="AQ38" i="17"/>
  <c r="AD38"/>
  <c r="C39" i="16"/>
  <c r="AQ40" i="17"/>
  <c r="AD40"/>
  <c r="C41" i="16"/>
  <c r="AQ42" i="17"/>
  <c r="AD42"/>
  <c r="C43" i="16"/>
  <c r="AI81" i="17"/>
  <c r="AI82" s="1"/>
  <c r="AQ44"/>
  <c r="AD44"/>
  <c r="C45" i="16"/>
  <c r="AO44" i="17"/>
  <c r="AM44"/>
  <c r="G45" i="16" s="1"/>
  <c r="H45" s="1"/>
  <c r="AN44" i="17"/>
  <c r="AL44"/>
  <c r="AQ46"/>
  <c r="AD46"/>
  <c r="C47" i="16"/>
  <c r="AO46" i="17"/>
  <c r="AM46"/>
  <c r="G47" i="16" s="1"/>
  <c r="H47" s="1"/>
  <c r="AN46" i="17"/>
  <c r="AL46"/>
  <c r="AQ48"/>
  <c r="AD48"/>
  <c r="C49" i="16"/>
  <c r="AO48" i="17"/>
  <c r="AM48"/>
  <c r="G49" i="16" s="1"/>
  <c r="H49" s="1"/>
  <c r="AN48" i="17"/>
  <c r="AL48"/>
  <c r="AQ50"/>
  <c r="AD50"/>
  <c r="C51" i="16"/>
  <c r="AO50" i="17"/>
  <c r="AM50"/>
  <c r="G51" i="16" s="1"/>
  <c r="H51" s="1"/>
  <c r="AN50" i="17"/>
  <c r="AL50"/>
  <c r="AQ52"/>
  <c r="AD52"/>
  <c r="C53" i="16"/>
  <c r="AO52" i="17"/>
  <c r="AM52"/>
  <c r="G53" i="16" s="1"/>
  <c r="H53" s="1"/>
  <c r="AN52" i="17"/>
  <c r="AL52"/>
  <c r="AQ54"/>
  <c r="AD54"/>
  <c r="C55" i="16"/>
  <c r="AO54" i="17"/>
  <c r="AM54"/>
  <c r="G55" i="16" s="1"/>
  <c r="H55" s="1"/>
  <c r="AN54" i="17"/>
  <c r="AL54"/>
  <c r="AQ56"/>
  <c r="AD56"/>
  <c r="C57" i="16"/>
  <c r="AO56" i="17"/>
  <c r="AM56"/>
  <c r="G57" i="16" s="1"/>
  <c r="H57" s="1"/>
  <c r="AN56" i="17"/>
  <c r="AL56"/>
  <c r="AQ58"/>
  <c r="AD58"/>
  <c r="C59" i="16"/>
  <c r="AO58" i="17"/>
  <c r="AM58"/>
  <c r="G59" i="16" s="1"/>
  <c r="H59" s="1"/>
  <c r="AN58" i="17"/>
  <c r="AL58"/>
  <c r="AQ60"/>
  <c r="AD60"/>
  <c r="C61" i="16"/>
  <c r="AO60" i="17"/>
  <c r="AM60"/>
  <c r="G61" i="16" s="1"/>
  <c r="H61" s="1"/>
  <c r="AN60" i="17"/>
  <c r="AL60"/>
  <c r="AQ62"/>
  <c r="AD62"/>
  <c r="C63" i="16"/>
  <c r="AO62" i="17"/>
  <c r="AM62"/>
  <c r="G63" i="16" s="1"/>
  <c r="H63" s="1"/>
  <c r="AN62" i="17"/>
  <c r="AL62"/>
  <c r="AQ64"/>
  <c r="AD64"/>
  <c r="C65" i="16"/>
  <c r="AO64" i="17"/>
  <c r="AM64"/>
  <c r="G65" i="16" s="1"/>
  <c r="H65" s="1"/>
  <c r="AN64" i="17"/>
  <c r="AL64"/>
  <c r="AQ66"/>
  <c r="AD66"/>
  <c r="C67" i="16"/>
  <c r="AO66" i="17"/>
  <c r="AM66"/>
  <c r="G67" i="16" s="1"/>
  <c r="H67" s="1"/>
  <c r="AN66" i="17"/>
  <c r="AL66"/>
  <c r="AQ68"/>
  <c r="AD68"/>
  <c r="C69" i="16"/>
  <c r="AO68" i="17"/>
  <c r="AM68"/>
  <c r="G69" i="16" s="1"/>
  <c r="H69" s="1"/>
  <c r="AN68" i="17"/>
  <c r="AL68"/>
  <c r="AQ70"/>
  <c r="AD70"/>
  <c r="C71" i="16"/>
  <c r="AO70" i="17"/>
  <c r="AM70"/>
  <c r="G71" i="16" s="1"/>
  <c r="H71" s="1"/>
  <c r="AN70" i="17"/>
  <c r="AL70"/>
  <c r="AQ72"/>
  <c r="AD72"/>
  <c r="C73" i="16"/>
  <c r="AO72" i="17"/>
  <c r="AM72"/>
  <c r="G73" i="16" s="1"/>
  <c r="H73" s="1"/>
  <c r="AN72" i="17"/>
  <c r="AL72"/>
  <c r="AQ74"/>
  <c r="AD74"/>
  <c r="C75" i="16"/>
  <c r="AO74" i="17"/>
  <c r="AM74"/>
  <c r="G75" i="16" s="1"/>
  <c r="H75" s="1"/>
  <c r="AN74" i="17"/>
  <c r="AL74"/>
  <c r="B96" i="11"/>
  <c r="AB77" i="17"/>
  <c r="F44" i="19"/>
  <c r="G44"/>
  <c r="I101" i="23"/>
  <c r="I101" i="19"/>
  <c r="I122" i="23"/>
  <c r="I121" i="19"/>
  <c r="I22" i="24"/>
  <c r="I22" i="20"/>
  <c r="I44" i="24"/>
  <c r="I44" i="20"/>
  <c r="I22" i="25"/>
  <c r="I22" i="21"/>
  <c r="I44" i="25"/>
  <c r="I44" i="21"/>
  <c r="AA58" i="13"/>
  <c r="AB58" s="1"/>
  <c r="W58"/>
  <c r="AA60"/>
  <c r="AB60" s="1"/>
  <c r="W60"/>
  <c r="AA62"/>
  <c r="AB62" s="1"/>
  <c r="W62"/>
  <c r="AA64"/>
  <c r="AB64" s="1"/>
  <c r="W64"/>
  <c r="AA66"/>
  <c r="AB66" s="1"/>
  <c r="W66"/>
  <c r="AA68"/>
  <c r="AB68" s="1"/>
  <c r="W68"/>
  <c r="AA70"/>
  <c r="AB70" s="1"/>
  <c r="W70"/>
  <c r="AA72"/>
  <c r="AB72" s="1"/>
  <c r="W72"/>
  <c r="AQ9" i="17"/>
  <c r="AD9"/>
  <c r="C10" i="16"/>
  <c r="AO9" i="17"/>
  <c r="AM9"/>
  <c r="G10" i="16" s="1"/>
  <c r="H10" s="1"/>
  <c r="AN9" i="17"/>
  <c r="AL9"/>
  <c r="AQ11"/>
  <c r="AD11"/>
  <c r="C12" i="16"/>
  <c r="AO11" i="17"/>
  <c r="AM11"/>
  <c r="G12" i="16" s="1"/>
  <c r="H12" s="1"/>
  <c r="AN11" i="17"/>
  <c r="AL11"/>
  <c r="AQ13"/>
  <c r="AD13"/>
  <c r="C14" i="16"/>
  <c r="AO13" i="17"/>
  <c r="AM13"/>
  <c r="G14" i="16" s="1"/>
  <c r="H14" s="1"/>
  <c r="AN13" i="17"/>
  <c r="AL13"/>
  <c r="AQ15"/>
  <c r="AD15"/>
  <c r="C16" i="16"/>
  <c r="AO15" i="17"/>
  <c r="AM15"/>
  <c r="G16" i="16" s="1"/>
  <c r="H16" s="1"/>
  <c r="AN15" i="17"/>
  <c r="AL15"/>
  <c r="AQ17"/>
  <c r="AD17"/>
  <c r="C18" i="16"/>
  <c r="AO17" i="17"/>
  <c r="AM17"/>
  <c r="G18" i="16" s="1"/>
  <c r="H18" s="1"/>
  <c r="AN17" i="17"/>
  <c r="AL17"/>
  <c r="AQ19"/>
  <c r="AD19"/>
  <c r="C20" i="16"/>
  <c r="AQ21" i="17"/>
  <c r="AD21"/>
  <c r="C22" i="16"/>
  <c r="AQ23" i="17"/>
  <c r="AD23"/>
  <c r="C24" i="16"/>
  <c r="AQ25" i="17"/>
  <c r="AD25"/>
  <c r="C26" i="16"/>
  <c r="AQ27" i="17"/>
  <c r="AD27"/>
  <c r="C28" i="16"/>
  <c r="AQ29" i="17"/>
  <c r="AD29"/>
  <c r="C30" i="16"/>
  <c r="AQ31" i="17"/>
  <c r="AD31"/>
  <c r="C32" i="16"/>
  <c r="AQ33" i="17"/>
  <c r="AD33"/>
  <c r="C34" i="16"/>
  <c r="AQ35" i="17"/>
  <c r="AD35"/>
  <c r="C36" i="16"/>
  <c r="AQ37" i="17"/>
  <c r="AD37"/>
  <c r="C38" i="16"/>
  <c r="AQ39" i="17"/>
  <c r="AD39"/>
  <c r="C40" i="16"/>
  <c r="AQ41" i="17"/>
  <c r="AD41"/>
  <c r="C42" i="16"/>
  <c r="AD43" i="17"/>
  <c r="AQ43"/>
  <c r="C44" i="16"/>
  <c r="AO43" i="17"/>
  <c r="AM43"/>
  <c r="G44" i="16" s="1"/>
  <c r="H44" s="1"/>
  <c r="AN43" i="17"/>
  <c r="AL43"/>
  <c r="AQ45"/>
  <c r="AD45"/>
  <c r="C46" i="16"/>
  <c r="AO45" i="17"/>
  <c r="AM45"/>
  <c r="G46" i="16" s="1"/>
  <c r="H46" s="1"/>
  <c r="AN45" i="17"/>
  <c r="AL45"/>
  <c r="AQ47"/>
  <c r="AD47"/>
  <c r="C48" i="16"/>
  <c r="AO47" i="17"/>
  <c r="AM47"/>
  <c r="G48" i="16" s="1"/>
  <c r="H48" s="1"/>
  <c r="AN47" i="17"/>
  <c r="AL47"/>
  <c r="AQ49"/>
  <c r="AD49"/>
  <c r="C50" i="16"/>
  <c r="AO49" i="17"/>
  <c r="AM49"/>
  <c r="G50" i="16" s="1"/>
  <c r="H50" s="1"/>
  <c r="AN49" i="17"/>
  <c r="AL49"/>
  <c r="AQ51"/>
  <c r="AD51"/>
  <c r="C52" i="16"/>
  <c r="AO51" i="17"/>
  <c r="AM51"/>
  <c r="G52" i="16" s="1"/>
  <c r="H52" s="1"/>
  <c r="AN51" i="17"/>
  <c r="AL51"/>
  <c r="AQ53"/>
  <c r="AD53"/>
  <c r="C54" i="16"/>
  <c r="AO53" i="17"/>
  <c r="AM53"/>
  <c r="G54" i="16" s="1"/>
  <c r="H54" s="1"/>
  <c r="AN53" i="17"/>
  <c r="AL53"/>
  <c r="AQ55"/>
  <c r="AD55"/>
  <c r="C56" i="16"/>
  <c r="AO55" i="17"/>
  <c r="AM55"/>
  <c r="G56" i="16" s="1"/>
  <c r="H56" s="1"/>
  <c r="AN55" i="17"/>
  <c r="AL55"/>
  <c r="AQ57"/>
  <c r="AD57"/>
  <c r="C58" i="16"/>
  <c r="AO57" i="17"/>
  <c r="AM57"/>
  <c r="G58" i="16" s="1"/>
  <c r="H58" s="1"/>
  <c r="AN57" i="17"/>
  <c r="AL57"/>
  <c r="AQ59"/>
  <c r="AD59"/>
  <c r="C60" i="16"/>
  <c r="AO59" i="17"/>
  <c r="AM59"/>
  <c r="G60" i="16" s="1"/>
  <c r="H60" s="1"/>
  <c r="AN59" i="17"/>
  <c r="AL59"/>
  <c r="AQ61"/>
  <c r="AD61"/>
  <c r="C62" i="16"/>
  <c r="AO61" i="17"/>
  <c r="AM61"/>
  <c r="G62" i="16" s="1"/>
  <c r="H62" s="1"/>
  <c r="AN61" i="17"/>
  <c r="AL61"/>
  <c r="AQ63"/>
  <c r="AD63"/>
  <c r="C64" i="16"/>
  <c r="AO63" i="17"/>
  <c r="AM63"/>
  <c r="G64" i="16" s="1"/>
  <c r="H64" s="1"/>
  <c r="AN63" i="17"/>
  <c r="AL63"/>
  <c r="AQ65"/>
  <c r="AD65"/>
  <c r="C66" i="16"/>
  <c r="AO65" i="17"/>
  <c r="AM65"/>
  <c r="G66" i="16" s="1"/>
  <c r="H66" s="1"/>
  <c r="AN65" i="17"/>
  <c r="AL65"/>
  <c r="AQ67"/>
  <c r="AD67"/>
  <c r="C68" i="16"/>
  <c r="AO67" i="17"/>
  <c r="AM67"/>
  <c r="G68" i="16" s="1"/>
  <c r="H68" s="1"/>
  <c r="AN67" i="17"/>
  <c r="AL67"/>
  <c r="AQ69"/>
  <c r="AD69"/>
  <c r="C70" i="16"/>
  <c r="AO69" i="17"/>
  <c r="AM69"/>
  <c r="G70" i="16" s="1"/>
  <c r="H70" s="1"/>
  <c r="AN69" i="17"/>
  <c r="AL69"/>
  <c r="AQ71"/>
  <c r="AD71"/>
  <c r="C72" i="16"/>
  <c r="AO71" i="17"/>
  <c r="AM71"/>
  <c r="G72" i="16" s="1"/>
  <c r="H72" s="1"/>
  <c r="AN71" i="17"/>
  <c r="AL71"/>
  <c r="AQ73"/>
  <c r="AD73"/>
  <c r="C74" i="16"/>
  <c r="AO73" i="17"/>
  <c r="AM73"/>
  <c r="G74" i="16" s="1"/>
  <c r="H74" s="1"/>
  <c r="AN73" i="17"/>
  <c r="AL73"/>
  <c r="AQ75"/>
  <c r="AD75"/>
  <c r="C76" i="16"/>
  <c r="AO75" i="17"/>
  <c r="AM75"/>
  <c r="G76" i="16" s="1"/>
  <c r="H76" s="1"/>
  <c r="AN75" i="17"/>
  <c r="AL75"/>
  <c r="AB76"/>
  <c r="C197" i="19"/>
  <c r="C18" i="10"/>
  <c r="C24"/>
  <c r="C36"/>
  <c r="X7" i="11"/>
  <c r="AA7" s="1"/>
  <c r="F41"/>
  <c r="V42"/>
  <c r="AB42" s="1"/>
  <c r="V46"/>
  <c r="AB46" s="1"/>
  <c r="V61"/>
  <c r="AB61" s="1"/>
  <c r="X62"/>
  <c r="AA62" s="1"/>
  <c r="X63"/>
  <c r="AA63" s="1"/>
  <c r="X64"/>
  <c r="AA64" s="1"/>
  <c r="F77"/>
  <c r="F79" s="1"/>
  <c r="F83" s="1"/>
  <c r="X77"/>
  <c r="X78"/>
  <c r="AD78" s="1"/>
  <c r="V91"/>
  <c r="W6" i="12"/>
  <c r="AC6" s="1"/>
  <c r="W8"/>
  <c r="AC8" s="1"/>
  <c r="W10"/>
  <c r="AC10" s="1"/>
  <c r="W12"/>
  <c r="AC12" s="1"/>
  <c r="W14"/>
  <c r="AC14" s="1"/>
  <c r="W16"/>
  <c r="AC16" s="1"/>
  <c r="W18"/>
  <c r="AC18" s="1"/>
  <c r="W20"/>
  <c r="AC20" s="1"/>
  <c r="W22"/>
  <c r="W24"/>
  <c r="AC24" s="1"/>
  <c r="W26"/>
  <c r="AC26" s="1"/>
  <c r="W28"/>
  <c r="AC28" s="1"/>
  <c r="W30"/>
  <c r="AC30" s="1"/>
  <c r="W32"/>
  <c r="AC32" s="1"/>
  <c r="W34"/>
  <c r="AC34" s="1"/>
  <c r="W36"/>
  <c r="AC36" s="1"/>
  <c r="W38"/>
  <c r="AC38" s="1"/>
  <c r="G40"/>
  <c r="W40"/>
  <c r="AC40" s="1"/>
  <c r="W42"/>
  <c r="AC42" s="1"/>
  <c r="W44"/>
  <c r="AC44" s="1"/>
  <c r="W46"/>
  <c r="AC46" s="1"/>
  <c r="W48"/>
  <c r="AC48" s="1"/>
  <c r="W50"/>
  <c r="AC50" s="1"/>
  <c r="W52"/>
  <c r="AC52" s="1"/>
  <c r="W54"/>
  <c r="AC54" s="1"/>
  <c r="W56"/>
  <c r="AC56" s="1"/>
  <c r="W58"/>
  <c r="AC58" s="1"/>
  <c r="W60"/>
  <c r="AC60" s="1"/>
  <c r="W62"/>
  <c r="AC62" s="1"/>
  <c r="W64"/>
  <c r="AC64" s="1"/>
  <c r="W66"/>
  <c r="AC66" s="1"/>
  <c r="W68"/>
  <c r="AC68" s="1"/>
  <c r="W70"/>
  <c r="AC70" s="1"/>
  <c r="W72"/>
  <c r="AC72" s="1"/>
  <c r="W6" i="13"/>
  <c r="AC6" s="1"/>
  <c r="W8"/>
  <c r="AC8" s="1"/>
  <c r="W10"/>
  <c r="AC10" s="1"/>
  <c r="W12"/>
  <c r="AC12" s="1"/>
  <c r="W14"/>
  <c r="AC14" s="1"/>
  <c r="W16"/>
  <c r="AC16" s="1"/>
  <c r="W18"/>
  <c r="AC18" s="1"/>
  <c r="W20"/>
  <c r="AC20" s="1"/>
  <c r="W22"/>
  <c r="AC22" s="1"/>
  <c r="W24"/>
  <c r="AC24" s="1"/>
  <c r="W26"/>
  <c r="AC26" s="1"/>
  <c r="W28"/>
  <c r="AC28" s="1"/>
  <c r="W30"/>
  <c r="AC30" s="1"/>
  <c r="W32"/>
  <c r="AC32" s="1"/>
  <c r="W34"/>
  <c r="AC34" s="1"/>
  <c r="W36"/>
  <c r="AC36" s="1"/>
  <c r="W38"/>
  <c r="AC38" s="1"/>
  <c r="G40"/>
  <c r="W40"/>
  <c r="AC40" s="1"/>
  <c r="W42"/>
  <c r="AC42" s="1"/>
  <c r="W44"/>
  <c r="AC44" s="1"/>
  <c r="W46"/>
  <c r="AC46" s="1"/>
  <c r="W48"/>
  <c r="AC48" s="1"/>
  <c r="W50"/>
  <c r="AC50" s="1"/>
  <c r="W52"/>
  <c r="AC52" s="1"/>
  <c r="W54"/>
  <c r="AC54" s="1"/>
  <c r="W56"/>
  <c r="AC56" s="1"/>
  <c r="J44" i="16"/>
  <c r="S43" i="5" s="1"/>
  <c r="H87" i="23"/>
  <c r="H87" i="19"/>
  <c r="J87" s="1"/>
  <c r="H88" i="23"/>
  <c r="H88" i="19"/>
  <c r="J88" s="1"/>
  <c r="H89" i="23"/>
  <c r="H89" i="19"/>
  <c r="J89" s="1"/>
  <c r="E95"/>
  <c r="K87"/>
  <c r="G87"/>
  <c r="F87"/>
  <c r="F88"/>
  <c r="K88"/>
  <c r="G88"/>
  <c r="K89"/>
  <c r="G89"/>
  <c r="F89"/>
  <c r="F90"/>
  <c r="G90"/>
  <c r="G91"/>
  <c r="F91"/>
  <c r="G93"/>
  <c r="F93"/>
  <c r="F102"/>
  <c r="G102"/>
  <c r="G103"/>
  <c r="F103"/>
  <c r="G108"/>
  <c r="F108"/>
  <c r="F109"/>
  <c r="G109"/>
  <c r="G110"/>
  <c r="F110"/>
  <c r="G114"/>
  <c r="F114"/>
  <c r="G116"/>
  <c r="F116"/>
  <c r="G143"/>
  <c r="F143"/>
  <c r="F150"/>
  <c r="G150"/>
  <c r="F152"/>
  <c r="G152"/>
  <c r="F7" i="20"/>
  <c r="G7"/>
  <c r="G8"/>
  <c r="F8"/>
  <c r="F9"/>
  <c r="G9"/>
  <c r="F11"/>
  <c r="G11"/>
  <c r="F13"/>
  <c r="G13"/>
  <c r="F15"/>
  <c r="G15"/>
  <c r="F17"/>
  <c r="G17"/>
  <c r="F19"/>
  <c r="G19"/>
  <c r="F21"/>
  <c r="G21"/>
  <c r="H8" i="17"/>
  <c r="AB8"/>
  <c r="H9"/>
  <c r="D10" i="16" s="1"/>
  <c r="E10" s="1"/>
  <c r="J10" s="1"/>
  <c r="S9" i="5" s="1"/>
  <c r="AB9" i="17"/>
  <c r="H10"/>
  <c r="D11" i="16" s="1"/>
  <c r="E11" s="1"/>
  <c r="J11" s="1"/>
  <c r="S10" i="5" s="1"/>
  <c r="AB10" i="17"/>
  <c r="H11"/>
  <c r="D12" i="16" s="1"/>
  <c r="E12" s="1"/>
  <c r="J12" s="1"/>
  <c r="S11" i="5" s="1"/>
  <c r="AB11" i="17"/>
  <c r="H12"/>
  <c r="D13" i="16" s="1"/>
  <c r="E13" s="1"/>
  <c r="J13" s="1"/>
  <c r="S12" i="5" s="1"/>
  <c r="AB12" i="17"/>
  <c r="H13"/>
  <c r="D14" i="16" s="1"/>
  <c r="E14" s="1"/>
  <c r="J14" s="1"/>
  <c r="S13" i="5" s="1"/>
  <c r="AB13" i="17"/>
  <c r="H14"/>
  <c r="D15" i="16" s="1"/>
  <c r="E15" s="1"/>
  <c r="J15" s="1"/>
  <c r="S14" i="5" s="1"/>
  <c r="AB14" i="17"/>
  <c r="H15"/>
  <c r="D16" i="16" s="1"/>
  <c r="E16" s="1"/>
  <c r="J16" s="1"/>
  <c r="S15" i="5" s="1"/>
  <c r="AB15" i="17"/>
  <c r="H16"/>
  <c r="D17" i="16" s="1"/>
  <c r="E17" s="1"/>
  <c r="J17" s="1"/>
  <c r="S16" i="5" s="1"/>
  <c r="AB16" i="17"/>
  <c r="H17"/>
  <c r="D18" i="16" s="1"/>
  <c r="E18" s="1"/>
  <c r="J18" s="1"/>
  <c r="S17" i="5" s="1"/>
  <c r="AB17" i="17"/>
  <c r="H18"/>
  <c r="D19" i="16" s="1"/>
  <c r="E19" s="1"/>
  <c r="J19" s="1"/>
  <c r="S18" i="5" s="1"/>
  <c r="AB18" i="17"/>
  <c r="H19"/>
  <c r="D20" i="16" s="1"/>
  <c r="E20" s="1"/>
  <c r="J20" s="1"/>
  <c r="S19" i="5" s="1"/>
  <c r="AB19" i="17"/>
  <c r="AC20"/>
  <c r="AM20"/>
  <c r="G21" i="16" s="1"/>
  <c r="H21" s="1"/>
  <c r="J21" s="1"/>
  <c r="S20" i="5" s="1"/>
  <c r="AO20" i="17"/>
  <c r="AC21"/>
  <c r="AM21"/>
  <c r="G22" i="16" s="1"/>
  <c r="H22" s="1"/>
  <c r="J22" s="1"/>
  <c r="S21" i="5" s="1"/>
  <c r="AO21" i="17"/>
  <c r="AC22"/>
  <c r="AM22"/>
  <c r="G23" i="16" s="1"/>
  <c r="H23" s="1"/>
  <c r="J23" s="1"/>
  <c r="S22" i="5" s="1"/>
  <c r="AO22" i="17"/>
  <c r="AC23"/>
  <c r="AM23"/>
  <c r="G24" i="16" s="1"/>
  <c r="H24" s="1"/>
  <c r="J24" s="1"/>
  <c r="S23" i="5" s="1"/>
  <c r="AO23" i="17"/>
  <c r="AC24"/>
  <c r="AM24"/>
  <c r="G25" i="16" s="1"/>
  <c r="H25" s="1"/>
  <c r="J25" s="1"/>
  <c r="S24" i="5" s="1"/>
  <c r="AO24" i="17"/>
  <c r="AC25"/>
  <c r="AM25"/>
  <c r="G26" i="16" s="1"/>
  <c r="H26" s="1"/>
  <c r="J26" s="1"/>
  <c r="S25" i="5" s="1"/>
  <c r="T25" s="1"/>
  <c r="AO25" i="17"/>
  <c r="AC26"/>
  <c r="AM26"/>
  <c r="G27" i="16" s="1"/>
  <c r="H27" s="1"/>
  <c r="J27" s="1"/>
  <c r="S26" i="5" s="1"/>
  <c r="T26" s="1"/>
  <c r="AO26" i="17"/>
  <c r="AC27"/>
  <c r="AM27"/>
  <c r="G28" i="16" s="1"/>
  <c r="H28" s="1"/>
  <c r="J28" s="1"/>
  <c r="S27" i="5" s="1"/>
  <c r="T27" s="1"/>
  <c r="AO27" i="17"/>
  <c r="AC28"/>
  <c r="AM28"/>
  <c r="G29" i="16" s="1"/>
  <c r="H29" s="1"/>
  <c r="J29" s="1"/>
  <c r="S28" i="5" s="1"/>
  <c r="T28" s="1"/>
  <c r="AO28" i="17"/>
  <c r="AC29"/>
  <c r="AM29"/>
  <c r="G30" i="16" s="1"/>
  <c r="H30" s="1"/>
  <c r="J30" s="1"/>
  <c r="S29" i="5" s="1"/>
  <c r="T29" s="1"/>
  <c r="AO29" i="17"/>
  <c r="AC30"/>
  <c r="AM30"/>
  <c r="G31" i="16" s="1"/>
  <c r="H31" s="1"/>
  <c r="J31" s="1"/>
  <c r="S30" i="5" s="1"/>
  <c r="T30" s="1"/>
  <c r="AO30" i="17"/>
  <c r="AC31"/>
  <c r="AM31"/>
  <c r="G32" i="16" s="1"/>
  <c r="H32" s="1"/>
  <c r="J32" s="1"/>
  <c r="S31" i="5" s="1"/>
  <c r="T31" s="1"/>
  <c r="AO31" i="17"/>
  <c r="AC32"/>
  <c r="AM32"/>
  <c r="G33" i="16" s="1"/>
  <c r="H33" s="1"/>
  <c r="J33" s="1"/>
  <c r="S32" i="5" s="1"/>
  <c r="T32" s="1"/>
  <c r="AO32" i="17"/>
  <c r="AC33"/>
  <c r="AM33"/>
  <c r="G34" i="16" s="1"/>
  <c r="H34" s="1"/>
  <c r="J34" s="1"/>
  <c r="S33" i="5" s="1"/>
  <c r="AO33" i="17"/>
  <c r="AC34"/>
  <c r="AM34"/>
  <c r="G35" i="16" s="1"/>
  <c r="H35" s="1"/>
  <c r="J35" s="1"/>
  <c r="S34" i="5" s="1"/>
  <c r="T34" s="1"/>
  <c r="AO34" i="17"/>
  <c r="AC35"/>
  <c r="AM35"/>
  <c r="G36" i="16" s="1"/>
  <c r="H36" s="1"/>
  <c r="J36" s="1"/>
  <c r="S35" i="5" s="1"/>
  <c r="T35" s="1"/>
  <c r="AO35" i="17"/>
  <c r="AC36"/>
  <c r="AM36"/>
  <c r="G37" i="16" s="1"/>
  <c r="H37" s="1"/>
  <c r="J37" s="1"/>
  <c r="S36" i="5" s="1"/>
  <c r="T36" s="1"/>
  <c r="AO36" i="17"/>
  <c r="AC37"/>
  <c r="AM37"/>
  <c r="G38" i="16" s="1"/>
  <c r="H38" s="1"/>
  <c r="J38" s="1"/>
  <c r="S37" i="5" s="1"/>
  <c r="T37" s="1"/>
  <c r="AO37" i="17"/>
  <c r="AC38"/>
  <c r="AM38"/>
  <c r="G39" i="16" s="1"/>
  <c r="H39" s="1"/>
  <c r="J39" s="1"/>
  <c r="S38" i="5" s="1"/>
  <c r="AO38" i="17"/>
  <c r="AC39"/>
  <c r="AM39"/>
  <c r="G40" i="16" s="1"/>
  <c r="H40" s="1"/>
  <c r="J40" s="1"/>
  <c r="S39" i="5" s="1"/>
  <c r="T39" s="1"/>
  <c r="AO39" i="17"/>
  <c r="AC40"/>
  <c r="AM40"/>
  <c r="G41" i="16" s="1"/>
  <c r="H41" s="1"/>
  <c r="J41" s="1"/>
  <c r="S40" i="5" s="1"/>
  <c r="T40" s="1"/>
  <c r="AO40" i="17"/>
  <c r="AC41"/>
  <c r="AM41"/>
  <c r="G42" i="16" s="1"/>
  <c r="H42" s="1"/>
  <c r="J42" s="1"/>
  <c r="S41" i="5" s="1"/>
  <c r="AO41" i="17"/>
  <c r="AC42"/>
  <c r="AM42"/>
  <c r="G43" i="16" s="1"/>
  <c r="H43" s="1"/>
  <c r="J43" s="1"/>
  <c r="S42" i="5" s="1"/>
  <c r="AO42" i="17"/>
  <c r="AC43"/>
  <c r="H44"/>
  <c r="D45" i="16" s="1"/>
  <c r="E45" s="1"/>
  <c r="J45" s="1"/>
  <c r="S44" i="5" s="1"/>
  <c r="AB44" i="17"/>
  <c r="H45"/>
  <c r="D46" i="16" s="1"/>
  <c r="E46" s="1"/>
  <c r="J46" s="1"/>
  <c r="S45" i="5" s="1"/>
  <c r="AB45" i="17"/>
  <c r="H46"/>
  <c r="D47" i="16" s="1"/>
  <c r="E47" s="1"/>
  <c r="J47" s="1"/>
  <c r="S46" i="5" s="1"/>
  <c r="AB46" i="17"/>
  <c r="H47"/>
  <c r="D48" i="16" s="1"/>
  <c r="E48" s="1"/>
  <c r="J48" s="1"/>
  <c r="S47" i="5" s="1"/>
  <c r="AB47" i="17"/>
  <c r="H48"/>
  <c r="D49" i="16" s="1"/>
  <c r="E49" s="1"/>
  <c r="J49" s="1"/>
  <c r="S48" i="5" s="1"/>
  <c r="AB48" i="17"/>
  <c r="H49"/>
  <c r="D50" i="16" s="1"/>
  <c r="E50" s="1"/>
  <c r="J50" s="1"/>
  <c r="S49" i="5" s="1"/>
  <c r="AB49" i="17"/>
  <c r="H50"/>
  <c r="D51" i="16" s="1"/>
  <c r="E51" s="1"/>
  <c r="J51" s="1"/>
  <c r="S50" i="5" s="1"/>
  <c r="AB50" i="17"/>
  <c r="H51"/>
  <c r="D52" i="16" s="1"/>
  <c r="E52" s="1"/>
  <c r="J52" s="1"/>
  <c r="S51" i="5" s="1"/>
  <c r="AB51" i="17"/>
  <c r="H52"/>
  <c r="D53" i="16" s="1"/>
  <c r="E53" s="1"/>
  <c r="J53" s="1"/>
  <c r="S52" i="5" s="1"/>
  <c r="AB52" i="17"/>
  <c r="H53"/>
  <c r="D54" i="16" s="1"/>
  <c r="E54" s="1"/>
  <c r="J54" s="1"/>
  <c r="S53" i="5" s="1"/>
  <c r="AB53" i="17"/>
  <c r="H54"/>
  <c r="D55" i="16" s="1"/>
  <c r="E55" s="1"/>
  <c r="J55" s="1"/>
  <c r="S54" i="5" s="1"/>
  <c r="AB54" i="17"/>
  <c r="H55"/>
  <c r="D56" i="16" s="1"/>
  <c r="E56" s="1"/>
  <c r="J56" s="1"/>
  <c r="S55" i="5" s="1"/>
  <c r="AB55" i="17"/>
  <c r="H56"/>
  <c r="D57" i="16" s="1"/>
  <c r="E57" s="1"/>
  <c r="J57" s="1"/>
  <c r="S56" i="5" s="1"/>
  <c r="AB56" i="17"/>
  <c r="H57"/>
  <c r="D58" i="16" s="1"/>
  <c r="E58" s="1"/>
  <c r="J58" s="1"/>
  <c r="S57" i="5" s="1"/>
  <c r="AB57" i="17"/>
  <c r="H58"/>
  <c r="D59" i="16" s="1"/>
  <c r="E59" s="1"/>
  <c r="J59" s="1"/>
  <c r="S58" i="5" s="1"/>
  <c r="AB58" i="17"/>
  <c r="H59"/>
  <c r="D60" i="16" s="1"/>
  <c r="E60" s="1"/>
  <c r="J60" s="1"/>
  <c r="S59" i="5" s="1"/>
  <c r="AB59" i="17"/>
  <c r="H60"/>
  <c r="D61" i="16" s="1"/>
  <c r="E61" s="1"/>
  <c r="J61" s="1"/>
  <c r="S60" i="5" s="1"/>
  <c r="AB60" i="17"/>
  <c r="H61"/>
  <c r="D62" i="16" s="1"/>
  <c r="E62" s="1"/>
  <c r="J62" s="1"/>
  <c r="S61" i="5" s="1"/>
  <c r="AB61" i="17"/>
  <c r="H62"/>
  <c r="D63" i="16" s="1"/>
  <c r="E63" s="1"/>
  <c r="J63" s="1"/>
  <c r="S62" i="5" s="1"/>
  <c r="AB62" i="17"/>
  <c r="H63"/>
  <c r="D64" i="16" s="1"/>
  <c r="E64" s="1"/>
  <c r="J64" s="1"/>
  <c r="S63" i="5" s="1"/>
  <c r="AB63" i="17"/>
  <c r="H64"/>
  <c r="D65" i="16" s="1"/>
  <c r="E65" s="1"/>
  <c r="J65" s="1"/>
  <c r="S64" i="5" s="1"/>
  <c r="AB64" i="17"/>
  <c r="H65"/>
  <c r="D66" i="16" s="1"/>
  <c r="E66" s="1"/>
  <c r="J66" s="1"/>
  <c r="S65" i="5" s="1"/>
  <c r="AB65" i="17"/>
  <c r="H66"/>
  <c r="D67" i="16" s="1"/>
  <c r="E67" s="1"/>
  <c r="J67" s="1"/>
  <c r="S66" i="5" s="1"/>
  <c r="AB66" i="17"/>
  <c r="H67"/>
  <c r="D68" i="16" s="1"/>
  <c r="E68" s="1"/>
  <c r="J68" s="1"/>
  <c r="S67" i="5" s="1"/>
  <c r="AB67" i="17"/>
  <c r="H68"/>
  <c r="D69" i="16" s="1"/>
  <c r="E69" s="1"/>
  <c r="J69" s="1"/>
  <c r="S68" i="5" s="1"/>
  <c r="AB68" i="17"/>
  <c r="H69"/>
  <c r="D70" i="16" s="1"/>
  <c r="E70" s="1"/>
  <c r="J70" s="1"/>
  <c r="S69" i="5" s="1"/>
  <c r="AB69" i="17"/>
  <c r="H70"/>
  <c r="D71" i="16" s="1"/>
  <c r="E71" s="1"/>
  <c r="J71" s="1"/>
  <c r="S70" i="5" s="1"/>
  <c r="AB70" i="17"/>
  <c r="H71"/>
  <c r="D72" i="16" s="1"/>
  <c r="E72" s="1"/>
  <c r="J72" s="1"/>
  <c r="S71" i="5" s="1"/>
  <c r="AB71" i="17"/>
  <c r="H72"/>
  <c r="D73" i="16" s="1"/>
  <c r="E73" s="1"/>
  <c r="J73" s="1"/>
  <c r="S72" i="5" s="1"/>
  <c r="AB72" i="17"/>
  <c r="H73"/>
  <c r="D74" i="16" s="1"/>
  <c r="E74" s="1"/>
  <c r="J74" s="1"/>
  <c r="S73" i="5" s="1"/>
  <c r="AB73" i="17"/>
  <c r="H74"/>
  <c r="D75" i="16" s="1"/>
  <c r="E75" s="1"/>
  <c r="J75" s="1"/>
  <c r="S74" i="5" s="1"/>
  <c r="AB74" i="17"/>
  <c r="H75"/>
  <c r="D76" i="16" s="1"/>
  <c r="E76" s="1"/>
  <c r="J76" s="1"/>
  <c r="S75" i="5" s="1"/>
  <c r="AB75" i="17"/>
  <c r="H76"/>
  <c r="D77" i="16" s="1"/>
  <c r="E77" s="1"/>
  <c r="J77" s="1"/>
  <c r="S76" i="5" s="1"/>
  <c r="AM76" i="17"/>
  <c r="G77" i="16" s="1"/>
  <c r="H77" s="1"/>
  <c r="AO76" i="17"/>
  <c r="S77"/>
  <c r="X79" s="1"/>
  <c r="E7" i="19"/>
  <c r="E9"/>
  <c r="E11"/>
  <c r="E13"/>
  <c r="E16"/>
  <c r="E18"/>
  <c r="E20"/>
  <c r="E22"/>
  <c r="E23"/>
  <c r="E25"/>
  <c r="E27"/>
  <c r="E29"/>
  <c r="E31"/>
  <c r="E33"/>
  <c r="E35"/>
  <c r="E37"/>
  <c r="E39"/>
  <c r="E41"/>
  <c r="E45"/>
  <c r="E47"/>
  <c r="E49"/>
  <c r="E51"/>
  <c r="E98"/>
  <c r="E153"/>
  <c r="E154"/>
  <c r="E155"/>
  <c r="E156"/>
  <c r="E157"/>
  <c r="E158"/>
  <c r="E159"/>
  <c r="E160"/>
  <c r="E161"/>
  <c r="E162"/>
  <c r="E163"/>
  <c r="E164"/>
  <c r="E165"/>
  <c r="E166"/>
  <c r="E167"/>
  <c r="E168"/>
  <c r="E169"/>
  <c r="E170"/>
  <c r="E171"/>
  <c r="E172"/>
  <c r="E173"/>
  <c r="E174"/>
  <c r="E175"/>
  <c r="E176"/>
  <c r="E177"/>
  <c r="E178"/>
  <c r="E179"/>
  <c r="E180"/>
  <c r="E181"/>
  <c r="E182"/>
  <c r="E183"/>
  <c r="E184"/>
  <c r="E185"/>
  <c r="E186"/>
  <c r="H90" i="23"/>
  <c r="H90" i="19"/>
  <c r="J90" s="1"/>
  <c r="K90" s="1"/>
  <c r="H91" i="23"/>
  <c r="H91" i="19"/>
  <c r="J91" s="1"/>
  <c r="K91" s="1"/>
  <c r="H92" i="23"/>
  <c r="H92" i="19"/>
  <c r="J92" s="1"/>
  <c r="H93" i="23"/>
  <c r="H93" i="19"/>
  <c r="J93" s="1"/>
  <c r="K93" s="1"/>
  <c r="H94" i="23"/>
  <c r="H94" i="19"/>
  <c r="J94" s="1"/>
  <c r="K94" s="1"/>
  <c r="E6" i="22"/>
  <c r="C75"/>
  <c r="G7"/>
  <c r="F7"/>
  <c r="G8"/>
  <c r="F8"/>
  <c r="G9"/>
  <c r="F9"/>
  <c r="G10"/>
  <c r="F10"/>
  <c r="G11"/>
  <c r="F11"/>
  <c r="G12"/>
  <c r="F12"/>
  <c r="G13"/>
  <c r="F13"/>
  <c r="G14"/>
  <c r="F14"/>
  <c r="G15"/>
  <c r="F15"/>
  <c r="G16"/>
  <c r="F16"/>
  <c r="G17"/>
  <c r="F17"/>
  <c r="G18"/>
  <c r="F18"/>
  <c r="G19"/>
  <c r="F19"/>
  <c r="G20"/>
  <c r="F20"/>
  <c r="G21"/>
  <c r="F21"/>
  <c r="G22"/>
  <c r="F22"/>
  <c r="G23"/>
  <c r="F23"/>
  <c r="G24"/>
  <c r="F24"/>
  <c r="G25"/>
  <c r="F25"/>
  <c r="G26"/>
  <c r="F26"/>
  <c r="G27"/>
  <c r="F27"/>
  <c r="G28"/>
  <c r="F28"/>
  <c r="G29"/>
  <c r="F29"/>
  <c r="G30"/>
  <c r="F30"/>
  <c r="G31"/>
  <c r="F31"/>
  <c r="G32"/>
  <c r="F32"/>
  <c r="G33"/>
  <c r="F33"/>
  <c r="G34"/>
  <c r="F34"/>
  <c r="G35"/>
  <c r="F35"/>
  <c r="G36"/>
  <c r="F36"/>
  <c r="G37"/>
  <c r="F37"/>
  <c r="G38"/>
  <c r="F38"/>
  <c r="G39"/>
  <c r="F39"/>
  <c r="G40"/>
  <c r="F40"/>
  <c r="G41"/>
  <c r="F41"/>
  <c r="G42"/>
  <c r="F42"/>
  <c r="G43"/>
  <c r="F43"/>
  <c r="G44"/>
  <c r="F44"/>
  <c r="G45"/>
  <c r="F45"/>
  <c r="G46"/>
  <c r="F46"/>
  <c r="G47"/>
  <c r="F47"/>
  <c r="G48"/>
  <c r="F48"/>
  <c r="G49"/>
  <c r="F49"/>
  <c r="G50"/>
  <c r="F50"/>
  <c r="G51"/>
  <c r="F51"/>
  <c r="G52"/>
  <c r="F52"/>
  <c r="G53"/>
  <c r="F53"/>
  <c r="G54"/>
  <c r="F54"/>
  <c r="G55"/>
  <c r="F55"/>
  <c r="G56"/>
  <c r="F56"/>
  <c r="G57"/>
  <c r="F57"/>
  <c r="G58"/>
  <c r="F58"/>
  <c r="G59"/>
  <c r="F59"/>
  <c r="G60"/>
  <c r="F60"/>
  <c r="G61"/>
  <c r="F61"/>
  <c r="G62"/>
  <c r="F62"/>
  <c r="G63"/>
  <c r="F63"/>
  <c r="G64"/>
  <c r="F64"/>
  <c r="G65"/>
  <c r="F65"/>
  <c r="G66"/>
  <c r="F66"/>
  <c r="G67"/>
  <c r="F67"/>
  <c r="G68"/>
  <c r="F68"/>
  <c r="G69"/>
  <c r="F69"/>
  <c r="G70"/>
  <c r="F70"/>
  <c r="G71"/>
  <c r="F71"/>
  <c r="G72"/>
  <c r="F72"/>
  <c r="G73"/>
  <c r="F73"/>
  <c r="G74"/>
  <c r="F74"/>
  <c r="F92" i="19"/>
  <c r="K92"/>
  <c r="G92"/>
  <c r="F94"/>
  <c r="G94"/>
  <c r="G115"/>
  <c r="F115"/>
  <c r="G117"/>
  <c r="F117"/>
  <c r="F118"/>
  <c r="G118"/>
  <c r="G122"/>
  <c r="F122"/>
  <c r="F126"/>
  <c r="G126"/>
  <c r="F135"/>
  <c r="G135"/>
  <c r="F136"/>
  <c r="G136"/>
  <c r="F144"/>
  <c r="G144"/>
  <c r="G151"/>
  <c r="F151"/>
  <c r="G187"/>
  <c r="F187"/>
  <c r="G10" i="20"/>
  <c r="F10"/>
  <c r="G12"/>
  <c r="F12"/>
  <c r="G14"/>
  <c r="F14"/>
  <c r="G16"/>
  <c r="F16"/>
  <c r="G18"/>
  <c r="F18"/>
  <c r="G20"/>
  <c r="F20"/>
  <c r="G22"/>
  <c r="F22"/>
  <c r="E10" i="14"/>
  <c r="E11"/>
  <c r="H11" s="1"/>
  <c r="E12"/>
  <c r="H12" s="1"/>
  <c r="M7" i="15"/>
  <c r="M8"/>
  <c r="M9"/>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C76"/>
  <c r="C95"/>
  <c r="C96" s="1"/>
  <c r="F9" i="16"/>
  <c r="F10"/>
  <c r="F11"/>
  <c r="F12"/>
  <c r="F13"/>
  <c r="F14"/>
  <c r="F15"/>
  <c r="F16"/>
  <c r="F17"/>
  <c r="F18"/>
  <c r="F19"/>
  <c r="G8" i="17"/>
  <c r="AC8"/>
  <c r="AE8"/>
  <c r="AK8"/>
  <c r="AL20"/>
  <c r="AL21"/>
  <c r="AL22"/>
  <c r="AL23"/>
  <c r="AL24"/>
  <c r="AL25"/>
  <c r="AL26"/>
  <c r="AL27"/>
  <c r="AL28"/>
  <c r="AL29"/>
  <c r="AL30"/>
  <c r="AL31"/>
  <c r="AL32"/>
  <c r="AL33"/>
  <c r="AL34"/>
  <c r="AL35"/>
  <c r="AL36"/>
  <c r="AL37"/>
  <c r="AL38"/>
  <c r="AL39"/>
  <c r="AL40"/>
  <c r="AL41"/>
  <c r="AL42"/>
  <c r="Q76"/>
  <c r="Z76"/>
  <c r="Z77" s="1"/>
  <c r="AL76"/>
  <c r="E8" i="19"/>
  <c r="E10"/>
  <c r="E12"/>
  <c r="E14"/>
  <c r="E15"/>
  <c r="E17"/>
  <c r="E19"/>
  <c r="E21"/>
  <c r="E24"/>
  <c r="E26"/>
  <c r="E28"/>
  <c r="E30"/>
  <c r="E32"/>
  <c r="E43"/>
  <c r="E53"/>
  <c r="E55"/>
  <c r="E57"/>
  <c r="E59"/>
  <c r="E61"/>
  <c r="E63"/>
  <c r="E65"/>
  <c r="E67"/>
  <c r="E69"/>
  <c r="E71"/>
  <c r="E73"/>
  <c r="E77"/>
  <c r="C212"/>
  <c r="E97"/>
  <c r="E133"/>
  <c r="E134"/>
  <c r="E139"/>
  <c r="E140"/>
  <c r="E141"/>
  <c r="E142"/>
  <c r="E145"/>
  <c r="E146"/>
  <c r="E147"/>
  <c r="E148"/>
  <c r="E149"/>
  <c r="E188"/>
  <c r="E191"/>
  <c r="E192"/>
  <c r="E193"/>
  <c r="E194"/>
  <c r="E195"/>
  <c r="E196"/>
  <c r="C99" i="23"/>
  <c r="C216" s="1"/>
  <c r="E97"/>
  <c r="G25" i="20"/>
  <c r="F25"/>
  <c r="G27"/>
  <c r="F27"/>
  <c r="G29"/>
  <c r="F29"/>
  <c r="G31"/>
  <c r="F31"/>
  <c r="G33"/>
  <c r="F33"/>
  <c r="G35"/>
  <c r="F35"/>
  <c r="G37"/>
  <c r="F37"/>
  <c r="G39"/>
  <c r="F39"/>
  <c r="G41"/>
  <c r="F41"/>
  <c r="G43"/>
  <c r="F43"/>
  <c r="G45"/>
  <c r="F45"/>
  <c r="G47"/>
  <c r="F47"/>
  <c r="G49"/>
  <c r="F49"/>
  <c r="G51"/>
  <c r="F51"/>
  <c r="G53"/>
  <c r="F53"/>
  <c r="G55"/>
  <c r="F55"/>
  <c r="G57"/>
  <c r="F57"/>
  <c r="G59"/>
  <c r="F59"/>
  <c r="G61"/>
  <c r="F61"/>
  <c r="G63"/>
  <c r="F63"/>
  <c r="G65"/>
  <c r="F65"/>
  <c r="G67"/>
  <c r="F67"/>
  <c r="G69"/>
  <c r="F69"/>
  <c r="G71"/>
  <c r="F71"/>
  <c r="G73"/>
  <c r="F73"/>
  <c r="G8" i="21"/>
  <c r="F8"/>
  <c r="G10"/>
  <c r="F10"/>
  <c r="G12"/>
  <c r="F12"/>
  <c r="G14"/>
  <c r="F14"/>
  <c r="G16"/>
  <c r="F16"/>
  <c r="G18"/>
  <c r="F18"/>
  <c r="G20"/>
  <c r="F20"/>
  <c r="G22"/>
  <c r="F22"/>
  <c r="G24"/>
  <c r="F24"/>
  <c r="G26"/>
  <c r="F26"/>
  <c r="G28"/>
  <c r="F28"/>
  <c r="G30"/>
  <c r="F30"/>
  <c r="G32"/>
  <c r="F32"/>
  <c r="G34"/>
  <c r="F34"/>
  <c r="G36"/>
  <c r="F36"/>
  <c r="G38"/>
  <c r="F38"/>
  <c r="G40"/>
  <c r="F40"/>
  <c r="G42"/>
  <c r="F42"/>
  <c r="G44"/>
  <c r="F44"/>
  <c r="G46"/>
  <c r="F46"/>
  <c r="G48"/>
  <c r="F48"/>
  <c r="G50"/>
  <c r="F50"/>
  <c r="G52"/>
  <c r="F52"/>
  <c r="G54"/>
  <c r="F54"/>
  <c r="G56"/>
  <c r="F56"/>
  <c r="G58"/>
  <c r="F58"/>
  <c r="G60"/>
  <c r="F60"/>
  <c r="G62"/>
  <c r="F62"/>
  <c r="G64"/>
  <c r="F64"/>
  <c r="G66"/>
  <c r="F66"/>
  <c r="G68"/>
  <c r="F68"/>
  <c r="G70"/>
  <c r="F70"/>
  <c r="G72"/>
  <c r="F72"/>
  <c r="G74"/>
  <c r="F74"/>
  <c r="F8" i="23"/>
  <c r="G8"/>
  <c r="F10"/>
  <c r="G10"/>
  <c r="F12"/>
  <c r="G12"/>
  <c r="F14"/>
  <c r="G14"/>
  <c r="G15"/>
  <c r="F15"/>
  <c r="G17"/>
  <c r="F17"/>
  <c r="G19"/>
  <c r="F19"/>
  <c r="G21"/>
  <c r="F21"/>
  <c r="F24"/>
  <c r="G24"/>
  <c r="F26"/>
  <c r="G26"/>
  <c r="F28"/>
  <c r="G28"/>
  <c r="F30"/>
  <c r="G30"/>
  <c r="F32"/>
  <c r="G32"/>
  <c r="F34"/>
  <c r="G34"/>
  <c r="F36"/>
  <c r="G36"/>
  <c r="F38"/>
  <c r="G38"/>
  <c r="G40"/>
  <c r="F40"/>
  <c r="E6" i="19"/>
  <c r="D79"/>
  <c r="E84"/>
  <c r="D95"/>
  <c r="D99"/>
  <c r="D212" s="1"/>
  <c r="F104"/>
  <c r="E107"/>
  <c r="E113"/>
  <c r="E125"/>
  <c r="E132"/>
  <c r="D189"/>
  <c r="D211" s="1"/>
  <c r="D197"/>
  <c r="E202"/>
  <c r="G23" i="20"/>
  <c r="F24"/>
  <c r="G24"/>
  <c r="F26"/>
  <c r="G26"/>
  <c r="F28"/>
  <c r="G28"/>
  <c r="F30"/>
  <c r="G30"/>
  <c r="F32"/>
  <c r="G32"/>
  <c r="F34"/>
  <c r="G34"/>
  <c r="F36"/>
  <c r="G36"/>
  <c r="F38"/>
  <c r="G38"/>
  <c r="F40"/>
  <c r="G40"/>
  <c r="F42"/>
  <c r="G42"/>
  <c r="F44"/>
  <c r="G44"/>
  <c r="F46"/>
  <c r="G46"/>
  <c r="F48"/>
  <c r="G48"/>
  <c r="F50"/>
  <c r="G50"/>
  <c r="F52"/>
  <c r="G52"/>
  <c r="F54"/>
  <c r="G54"/>
  <c r="F56"/>
  <c r="G56"/>
  <c r="F58"/>
  <c r="G58"/>
  <c r="F60"/>
  <c r="G60"/>
  <c r="F62"/>
  <c r="G62"/>
  <c r="F64"/>
  <c r="G64"/>
  <c r="F66"/>
  <c r="G66"/>
  <c r="F68"/>
  <c r="G68"/>
  <c r="F70"/>
  <c r="G70"/>
  <c r="F72"/>
  <c r="G72"/>
  <c r="F74"/>
  <c r="G74"/>
  <c r="F7" i="21"/>
  <c r="G7"/>
  <c r="F9"/>
  <c r="G9"/>
  <c r="F11"/>
  <c r="G11"/>
  <c r="F13"/>
  <c r="G13"/>
  <c r="F15"/>
  <c r="G15"/>
  <c r="F17"/>
  <c r="G17"/>
  <c r="F19"/>
  <c r="G19"/>
  <c r="F21"/>
  <c r="G21"/>
  <c r="F23"/>
  <c r="G23"/>
  <c r="F25"/>
  <c r="G25"/>
  <c r="F27"/>
  <c r="G27"/>
  <c r="F29"/>
  <c r="G29"/>
  <c r="F31"/>
  <c r="G31"/>
  <c r="F33"/>
  <c r="G33"/>
  <c r="F35"/>
  <c r="G35"/>
  <c r="F37"/>
  <c r="G37"/>
  <c r="F39"/>
  <c r="G39"/>
  <c r="F41"/>
  <c r="G41"/>
  <c r="F43"/>
  <c r="G43"/>
  <c r="F45"/>
  <c r="G45"/>
  <c r="F47"/>
  <c r="G47"/>
  <c r="F49"/>
  <c r="G49"/>
  <c r="F51"/>
  <c r="G51"/>
  <c r="F53"/>
  <c r="G53"/>
  <c r="F55"/>
  <c r="G55"/>
  <c r="F57"/>
  <c r="G57"/>
  <c r="F59"/>
  <c r="G59"/>
  <c r="F61"/>
  <c r="G61"/>
  <c r="F63"/>
  <c r="G63"/>
  <c r="F65"/>
  <c r="G65"/>
  <c r="F67"/>
  <c r="G67"/>
  <c r="F69"/>
  <c r="G69"/>
  <c r="F71"/>
  <c r="G71"/>
  <c r="F73"/>
  <c r="G73"/>
  <c r="G7" i="23"/>
  <c r="F7"/>
  <c r="G9"/>
  <c r="F9"/>
  <c r="G11"/>
  <c r="F11"/>
  <c r="G13"/>
  <c r="F13"/>
  <c r="F16"/>
  <c r="G16"/>
  <c r="F18"/>
  <c r="G18"/>
  <c r="F20"/>
  <c r="G20"/>
  <c r="F22"/>
  <c r="G22"/>
  <c r="G23"/>
  <c r="F23"/>
  <c r="G25"/>
  <c r="F25"/>
  <c r="G27"/>
  <c r="F27"/>
  <c r="G29"/>
  <c r="F29"/>
  <c r="G31"/>
  <c r="F31"/>
  <c r="G33"/>
  <c r="F33"/>
  <c r="G35"/>
  <c r="F35"/>
  <c r="G37"/>
  <c r="F37"/>
  <c r="G39"/>
  <c r="F39"/>
  <c r="E81" i="19"/>
  <c r="E101"/>
  <c r="G104"/>
  <c r="E121"/>
  <c r="E129"/>
  <c r="E199"/>
  <c r="E6" i="20"/>
  <c r="C215" i="23"/>
  <c r="C219" s="1"/>
  <c r="C211"/>
  <c r="F42"/>
  <c r="G42"/>
  <c r="G43"/>
  <c r="F43"/>
  <c r="F44"/>
  <c r="G44"/>
  <c r="F52"/>
  <c r="G52"/>
  <c r="G53"/>
  <c r="F53"/>
  <c r="F54"/>
  <c r="G54"/>
  <c r="G55"/>
  <c r="F55"/>
  <c r="F56"/>
  <c r="G56"/>
  <c r="G57"/>
  <c r="F57"/>
  <c r="F58"/>
  <c r="G58"/>
  <c r="G59"/>
  <c r="F59"/>
  <c r="F60"/>
  <c r="G60"/>
  <c r="G61"/>
  <c r="F61"/>
  <c r="F62"/>
  <c r="G62"/>
  <c r="G63"/>
  <c r="F63"/>
  <c r="F64"/>
  <c r="G64"/>
  <c r="G65"/>
  <c r="F65"/>
  <c r="F66"/>
  <c r="G66"/>
  <c r="G67"/>
  <c r="F67"/>
  <c r="F68"/>
  <c r="G68"/>
  <c r="G69"/>
  <c r="F69"/>
  <c r="F70"/>
  <c r="G70"/>
  <c r="G71"/>
  <c r="F71"/>
  <c r="F72"/>
  <c r="G72"/>
  <c r="G73"/>
  <c r="F73"/>
  <c r="F74"/>
  <c r="G74"/>
  <c r="E79"/>
  <c r="G77"/>
  <c r="F77"/>
  <c r="F79" s="1"/>
  <c r="F78"/>
  <c r="G78"/>
  <c r="E95"/>
  <c r="G87"/>
  <c r="F87"/>
  <c r="G89"/>
  <c r="F89"/>
  <c r="G91"/>
  <c r="F91"/>
  <c r="G93"/>
  <c r="F93"/>
  <c r="G105"/>
  <c r="F105"/>
  <c r="G109"/>
  <c r="F109"/>
  <c r="F110"/>
  <c r="G110"/>
  <c r="G111"/>
  <c r="F111"/>
  <c r="G115"/>
  <c r="F115"/>
  <c r="F116"/>
  <c r="G116"/>
  <c r="G117"/>
  <c r="F117"/>
  <c r="F118"/>
  <c r="G118"/>
  <c r="G119"/>
  <c r="F119"/>
  <c r="G123"/>
  <c r="F123"/>
  <c r="G125"/>
  <c r="F125"/>
  <c r="F137"/>
  <c r="G137"/>
  <c r="F139"/>
  <c r="G139"/>
  <c r="F145"/>
  <c r="G145"/>
  <c r="F147"/>
  <c r="G147"/>
  <c r="F149"/>
  <c r="G149"/>
  <c r="F151"/>
  <c r="G151"/>
  <c r="F153"/>
  <c r="G153"/>
  <c r="F155"/>
  <c r="G155"/>
  <c r="F157"/>
  <c r="G157"/>
  <c r="F159"/>
  <c r="G159"/>
  <c r="F161"/>
  <c r="G161"/>
  <c r="F163"/>
  <c r="G163"/>
  <c r="F165"/>
  <c r="G165"/>
  <c r="F167"/>
  <c r="G167"/>
  <c r="F169"/>
  <c r="G169"/>
  <c r="F171"/>
  <c r="G171"/>
  <c r="G173"/>
  <c r="F173"/>
  <c r="E6"/>
  <c r="J88"/>
  <c r="J90"/>
  <c r="K90" s="1"/>
  <c r="J92"/>
  <c r="J94"/>
  <c r="K94" s="1"/>
  <c r="E98"/>
  <c r="D215"/>
  <c r="G41"/>
  <c r="F41"/>
  <c r="G45"/>
  <c r="F45"/>
  <c r="F46"/>
  <c r="G46"/>
  <c r="G47"/>
  <c r="F47"/>
  <c r="F48"/>
  <c r="G48"/>
  <c r="G49"/>
  <c r="F49"/>
  <c r="F50"/>
  <c r="G50"/>
  <c r="G51"/>
  <c r="F51"/>
  <c r="F88"/>
  <c r="K88"/>
  <c r="G88"/>
  <c r="F90"/>
  <c r="G90"/>
  <c r="F92"/>
  <c r="K92"/>
  <c r="G92"/>
  <c r="F94"/>
  <c r="G94"/>
  <c r="G102"/>
  <c r="F102"/>
  <c r="F103"/>
  <c r="G103"/>
  <c r="G104"/>
  <c r="F104"/>
  <c r="G124"/>
  <c r="F124"/>
  <c r="G126"/>
  <c r="F126"/>
  <c r="G130"/>
  <c r="F130"/>
  <c r="G138"/>
  <c r="F138"/>
  <c r="G140"/>
  <c r="F140"/>
  <c r="G144"/>
  <c r="F144"/>
  <c r="G146"/>
  <c r="F146"/>
  <c r="G148"/>
  <c r="F148"/>
  <c r="G150"/>
  <c r="F150"/>
  <c r="G152"/>
  <c r="F152"/>
  <c r="G154"/>
  <c r="F154"/>
  <c r="G156"/>
  <c r="F156"/>
  <c r="G158"/>
  <c r="F158"/>
  <c r="G160"/>
  <c r="F160"/>
  <c r="G162"/>
  <c r="F162"/>
  <c r="G164"/>
  <c r="F164"/>
  <c r="G166"/>
  <c r="F166"/>
  <c r="G168"/>
  <c r="F168"/>
  <c r="G170"/>
  <c r="F170"/>
  <c r="G172"/>
  <c r="F172"/>
  <c r="E6" i="21"/>
  <c r="J87" i="23"/>
  <c r="K87" s="1"/>
  <c r="J89"/>
  <c r="K89" s="1"/>
  <c r="J91"/>
  <c r="K91" s="1"/>
  <c r="J93"/>
  <c r="K93" s="1"/>
  <c r="G174"/>
  <c r="F174"/>
  <c r="F175"/>
  <c r="G175"/>
  <c r="G176"/>
  <c r="F176"/>
  <c r="F177"/>
  <c r="G177"/>
  <c r="G178"/>
  <c r="F178"/>
  <c r="F179"/>
  <c r="G179"/>
  <c r="G180"/>
  <c r="F180"/>
  <c r="F181"/>
  <c r="G181"/>
  <c r="G182"/>
  <c r="F182"/>
  <c r="F183"/>
  <c r="G183"/>
  <c r="G184"/>
  <c r="F184"/>
  <c r="F185"/>
  <c r="G185"/>
  <c r="G186"/>
  <c r="F186"/>
  <c r="F187"/>
  <c r="G187"/>
  <c r="G188"/>
  <c r="F188"/>
  <c r="F189"/>
  <c r="G189"/>
  <c r="G190"/>
  <c r="F190"/>
  <c r="F191"/>
  <c r="G191"/>
  <c r="G192"/>
  <c r="F192"/>
  <c r="G196"/>
  <c r="F196"/>
  <c r="F197"/>
  <c r="G197"/>
  <c r="G198"/>
  <c r="F198"/>
  <c r="F199"/>
  <c r="G199"/>
  <c r="G200"/>
  <c r="F200"/>
  <c r="G7" i="25"/>
  <c r="F7"/>
  <c r="G9"/>
  <c r="F9"/>
  <c r="G11"/>
  <c r="F11"/>
  <c r="G13"/>
  <c r="F13"/>
  <c r="G15"/>
  <c r="F15"/>
  <c r="D79" i="23"/>
  <c r="D217" s="1"/>
  <c r="E84"/>
  <c r="D95"/>
  <c r="D216" s="1"/>
  <c r="E108"/>
  <c r="E114"/>
  <c r="E122"/>
  <c r="E129"/>
  <c r="E133"/>
  <c r="E143"/>
  <c r="F7" i="24"/>
  <c r="G7"/>
  <c r="G8"/>
  <c r="F8"/>
  <c r="F9"/>
  <c r="G9"/>
  <c r="G10"/>
  <c r="F10"/>
  <c r="F11"/>
  <c r="G11"/>
  <c r="G12"/>
  <c r="F12"/>
  <c r="F13"/>
  <c r="G13"/>
  <c r="G14"/>
  <c r="F14"/>
  <c r="F15"/>
  <c r="G15"/>
  <c r="G16"/>
  <c r="F16"/>
  <c r="F17"/>
  <c r="G17"/>
  <c r="G18"/>
  <c r="F18"/>
  <c r="F19"/>
  <c r="G19"/>
  <c r="G20"/>
  <c r="F20"/>
  <c r="F21"/>
  <c r="G21"/>
  <c r="G22"/>
  <c r="F22"/>
  <c r="F23"/>
  <c r="G23"/>
  <c r="G24"/>
  <c r="F24"/>
  <c r="F25"/>
  <c r="G25"/>
  <c r="G26"/>
  <c r="F26"/>
  <c r="F27"/>
  <c r="G27"/>
  <c r="G28"/>
  <c r="F28"/>
  <c r="F29"/>
  <c r="G29"/>
  <c r="G30"/>
  <c r="F30"/>
  <c r="F31"/>
  <c r="G31"/>
  <c r="G32"/>
  <c r="F32"/>
  <c r="F33"/>
  <c r="G33"/>
  <c r="G34"/>
  <c r="F34"/>
  <c r="F35"/>
  <c r="G35"/>
  <c r="G36"/>
  <c r="F36"/>
  <c r="F37"/>
  <c r="G37"/>
  <c r="G38"/>
  <c r="F38"/>
  <c r="F39"/>
  <c r="G39"/>
  <c r="G40"/>
  <c r="F40"/>
  <c r="F41"/>
  <c r="G41"/>
  <c r="G42"/>
  <c r="F42"/>
  <c r="F43"/>
  <c r="G43"/>
  <c r="G44"/>
  <c r="F44"/>
  <c r="F45"/>
  <c r="G45"/>
  <c r="G46"/>
  <c r="F46"/>
  <c r="F47"/>
  <c r="G47"/>
  <c r="G48"/>
  <c r="F48"/>
  <c r="F49"/>
  <c r="G49"/>
  <c r="G50"/>
  <c r="F50"/>
  <c r="F51"/>
  <c r="G51"/>
  <c r="G52"/>
  <c r="F52"/>
  <c r="F53"/>
  <c r="G53"/>
  <c r="G54"/>
  <c r="F54"/>
  <c r="F55"/>
  <c r="G55"/>
  <c r="G56"/>
  <c r="F56"/>
  <c r="F57"/>
  <c r="G57"/>
  <c r="G58"/>
  <c r="F58"/>
  <c r="F59"/>
  <c r="G59"/>
  <c r="G60"/>
  <c r="F60"/>
  <c r="F61"/>
  <c r="G61"/>
  <c r="G62"/>
  <c r="F62"/>
  <c r="F63"/>
  <c r="G63"/>
  <c r="G64"/>
  <c r="F64"/>
  <c r="F65"/>
  <c r="G65"/>
  <c r="G66"/>
  <c r="F66"/>
  <c r="F67"/>
  <c r="G67"/>
  <c r="G68"/>
  <c r="F68"/>
  <c r="F69"/>
  <c r="G69"/>
  <c r="G70"/>
  <c r="F70"/>
  <c r="F71"/>
  <c r="G71"/>
  <c r="G72"/>
  <c r="F72"/>
  <c r="F73"/>
  <c r="G73"/>
  <c r="G74"/>
  <c r="F74"/>
  <c r="F8" i="25"/>
  <c r="G8"/>
  <c r="F10"/>
  <c r="G10"/>
  <c r="F12"/>
  <c r="G12"/>
  <c r="F14"/>
  <c r="G14"/>
  <c r="F16"/>
  <c r="G16"/>
  <c r="E81" i="23"/>
  <c r="E101"/>
  <c r="E136"/>
  <c r="F17" i="25"/>
  <c r="G17"/>
  <c r="G18"/>
  <c r="F18"/>
  <c r="F19"/>
  <c r="G19"/>
  <c r="G20"/>
  <c r="F20"/>
  <c r="F21"/>
  <c r="G21"/>
  <c r="G22"/>
  <c r="F22"/>
  <c r="F23"/>
  <c r="G23"/>
  <c r="G24"/>
  <c r="F24"/>
  <c r="F25"/>
  <c r="G25"/>
  <c r="G26"/>
  <c r="F26"/>
  <c r="F27"/>
  <c r="G27"/>
  <c r="G28"/>
  <c r="F28"/>
  <c r="F29"/>
  <c r="G29"/>
  <c r="F31"/>
  <c r="G31"/>
  <c r="F33"/>
  <c r="G33"/>
  <c r="F35"/>
  <c r="G35"/>
  <c r="F37"/>
  <c r="G37"/>
  <c r="F39"/>
  <c r="G39"/>
  <c r="G40"/>
  <c r="F40"/>
  <c r="F41"/>
  <c r="G41"/>
  <c r="G42"/>
  <c r="F42"/>
  <c r="F43"/>
  <c r="G43"/>
  <c r="G44"/>
  <c r="F44"/>
  <c r="F45"/>
  <c r="G45"/>
  <c r="G46"/>
  <c r="F46"/>
  <c r="F47"/>
  <c r="G47"/>
  <c r="G48"/>
  <c r="F48"/>
  <c r="F49"/>
  <c r="G49"/>
  <c r="G50"/>
  <c r="F50"/>
  <c r="F51"/>
  <c r="G51"/>
  <c r="G52"/>
  <c r="F52"/>
  <c r="F53"/>
  <c r="G53"/>
  <c r="G54"/>
  <c r="F54"/>
  <c r="F55"/>
  <c r="G55"/>
  <c r="G56"/>
  <c r="F56"/>
  <c r="F57"/>
  <c r="G57"/>
  <c r="G58"/>
  <c r="F58"/>
  <c r="F59"/>
  <c r="G59"/>
  <c r="G60"/>
  <c r="F60"/>
  <c r="F61"/>
  <c r="G61"/>
  <c r="G62"/>
  <c r="F62"/>
  <c r="F63"/>
  <c r="G63"/>
  <c r="G64"/>
  <c r="F64"/>
  <c r="F65"/>
  <c r="G65"/>
  <c r="G66"/>
  <c r="F66"/>
  <c r="E195" i="23"/>
  <c r="E203"/>
  <c r="E6" i="25"/>
  <c r="G30"/>
  <c r="F30"/>
  <c r="G32"/>
  <c r="F32"/>
  <c r="G34"/>
  <c r="F34"/>
  <c r="G36"/>
  <c r="F36"/>
  <c r="G38"/>
  <c r="F38"/>
  <c r="E206" i="23"/>
  <c r="E6" i="24"/>
  <c r="F67" i="25"/>
  <c r="G67"/>
  <c r="G68"/>
  <c r="F68"/>
  <c r="F69"/>
  <c r="G69"/>
  <c r="G70"/>
  <c r="F70"/>
  <c r="F71"/>
  <c r="G71"/>
  <c r="G72"/>
  <c r="F72"/>
  <c r="F73"/>
  <c r="G73"/>
  <c r="G74"/>
  <c r="F74"/>
  <c r="G6" i="26"/>
  <c r="F7"/>
  <c r="F75" s="1"/>
  <c r="G8"/>
  <c r="F9"/>
  <c r="G10"/>
  <c r="F11"/>
  <c r="G12"/>
  <c r="F13"/>
  <c r="G14"/>
  <c r="F15"/>
  <c r="G16"/>
  <c r="F17"/>
  <c r="G18"/>
  <c r="F19"/>
  <c r="G20"/>
  <c r="F21"/>
  <c r="G22"/>
  <c r="F23"/>
  <c r="G24"/>
  <c r="F25"/>
  <c r="G26"/>
  <c r="F27"/>
  <c r="G28"/>
  <c r="F29"/>
  <c r="G30"/>
  <c r="F31"/>
  <c r="G32"/>
  <c r="F33"/>
  <c r="G34"/>
  <c r="F35"/>
  <c r="G36"/>
  <c r="F37"/>
  <c r="G38"/>
  <c r="F39"/>
  <c r="G40"/>
  <c r="F41"/>
  <c r="G42"/>
  <c r="F43"/>
  <c r="G44"/>
  <c r="F45"/>
  <c r="G46"/>
  <c r="F47"/>
  <c r="G48"/>
  <c r="F49"/>
  <c r="G50"/>
  <c r="F51"/>
  <c r="G52"/>
  <c r="F53"/>
  <c r="G54"/>
  <c r="F55"/>
  <c r="G56"/>
  <c r="F57"/>
  <c r="G58"/>
  <c r="F59"/>
  <c r="G60"/>
  <c r="F61"/>
  <c r="G62"/>
  <c r="F63"/>
  <c r="G64"/>
  <c r="F65"/>
  <c r="G66"/>
  <c r="F67"/>
  <c r="G68"/>
  <c r="F69"/>
  <c r="G70"/>
  <c r="F71"/>
  <c r="G72"/>
  <c r="F73"/>
  <c r="G74"/>
  <c r="G7"/>
  <c r="G9"/>
  <c r="G11"/>
  <c r="G13"/>
  <c r="G15"/>
  <c r="G17"/>
  <c r="G19"/>
  <c r="G21"/>
  <c r="G23"/>
  <c r="G25"/>
  <c r="G27"/>
  <c r="G29"/>
  <c r="G31"/>
  <c r="G33"/>
  <c r="G35"/>
  <c r="G37"/>
  <c r="G39"/>
  <c r="G41"/>
  <c r="G43"/>
  <c r="G45"/>
  <c r="G47"/>
  <c r="G49"/>
  <c r="G51"/>
  <c r="G53"/>
  <c r="G55"/>
  <c r="G57"/>
  <c r="G59"/>
  <c r="G61"/>
  <c r="G63"/>
  <c r="G65"/>
  <c r="G67"/>
  <c r="G69"/>
  <c r="G71"/>
  <c r="G73"/>
  <c r="AC37" i="13" l="1"/>
  <c r="AC29"/>
  <c r="G31" i="10"/>
  <c r="Q14" i="6" s="1"/>
  <c r="G18" i="10"/>
  <c r="AA45" i="11"/>
  <c r="S19" i="10"/>
  <c r="H21" i="1"/>
  <c r="G21"/>
  <c r="H22"/>
  <c r="G22"/>
  <c r="H23"/>
  <c r="G23"/>
  <c r="R61" i="5"/>
  <c r="R59"/>
  <c r="R57"/>
  <c r="R55"/>
  <c r="R43"/>
  <c r="R41"/>
  <c r="T41" s="1"/>
  <c r="R62"/>
  <c r="R60"/>
  <c r="R58"/>
  <c r="R56"/>
  <c r="R42"/>
  <c r="T42" s="1"/>
  <c r="AA9" i="11"/>
  <c r="AB9"/>
  <c r="I75" i="6"/>
  <c r="AB26" i="11"/>
  <c r="AC57" i="13"/>
  <c r="AC49"/>
  <c r="AC41"/>
  <c r="AC35"/>
  <c r="AC27"/>
  <c r="AC19"/>
  <c r="AC11"/>
  <c r="AB8" i="11"/>
  <c r="F23" i="20"/>
  <c r="X22" i="12"/>
  <c r="Y22" s="1"/>
  <c r="AB22" s="1"/>
  <c r="AC10" i="11"/>
  <c r="F74" i="4"/>
  <c r="AB25" i="11"/>
  <c r="AC53" i="13"/>
  <c r="AC45"/>
  <c r="AC39"/>
  <c r="AC31"/>
  <c r="AC23"/>
  <c r="AC15"/>
  <c r="AC7"/>
  <c r="M91" i="23"/>
  <c r="L91"/>
  <c r="D90" i="18"/>
  <c r="J14" i="14"/>
  <c r="M87" i="23"/>
  <c r="K95"/>
  <c r="L87"/>
  <c r="D86" i="18"/>
  <c r="J10" i="14"/>
  <c r="M93" i="23"/>
  <c r="L93"/>
  <c r="D92" i="18"/>
  <c r="J16" i="14"/>
  <c r="M89" i="23"/>
  <c r="L89"/>
  <c r="D88" i="18"/>
  <c r="J12" i="14"/>
  <c r="G206" i="23"/>
  <c r="G207" s="1"/>
  <c r="E207"/>
  <c r="F206"/>
  <c r="F207" s="1"/>
  <c r="AB29" i="10"/>
  <c r="E75" i="25"/>
  <c r="F6"/>
  <c r="F75" s="1"/>
  <c r="G6"/>
  <c r="G75" s="1"/>
  <c r="Z5" i="13"/>
  <c r="F195" i="23"/>
  <c r="F201" s="1"/>
  <c r="E201"/>
  <c r="G195"/>
  <c r="G201" s="1"/>
  <c r="AB10" i="10"/>
  <c r="G136" i="23"/>
  <c r="G141" s="1"/>
  <c r="E141"/>
  <c r="F136"/>
  <c r="F141" s="1"/>
  <c r="G81"/>
  <c r="G82" s="1"/>
  <c r="E82"/>
  <c r="F81"/>
  <c r="F82" s="1"/>
  <c r="E193"/>
  <c r="F143"/>
  <c r="F193" s="1"/>
  <c r="G143"/>
  <c r="G193" s="1"/>
  <c r="F129"/>
  <c r="F131" s="1"/>
  <c r="E131"/>
  <c r="G129"/>
  <c r="G131" s="1"/>
  <c r="AA77" i="11"/>
  <c r="F114" i="23"/>
  <c r="F120" s="1"/>
  <c r="E120"/>
  <c r="G114"/>
  <c r="G120" s="1"/>
  <c r="Y41" i="11"/>
  <c r="L94" i="23"/>
  <c r="M94"/>
  <c r="D93" i="18"/>
  <c r="J17" i="14"/>
  <c r="L90" i="23"/>
  <c r="M90"/>
  <c r="D89" i="18"/>
  <c r="J13" i="14"/>
  <c r="E75" i="23"/>
  <c r="F6"/>
  <c r="F75" s="1"/>
  <c r="G6"/>
  <c r="G75" s="1"/>
  <c r="E75" i="20"/>
  <c r="G6"/>
  <c r="G75" s="1"/>
  <c r="F6"/>
  <c r="F75" s="1"/>
  <c r="X5" i="12"/>
  <c r="G129" i="19"/>
  <c r="G130" s="1"/>
  <c r="E130"/>
  <c r="F129"/>
  <c r="F130" s="1"/>
  <c r="W91" i="11"/>
  <c r="G81" i="19"/>
  <c r="G82" s="1"/>
  <c r="E82"/>
  <c r="F81"/>
  <c r="F82" s="1"/>
  <c r="E137"/>
  <c r="F132"/>
  <c r="G132"/>
  <c r="E119"/>
  <c r="F113"/>
  <c r="F119" s="1"/>
  <c r="G113"/>
  <c r="G119" s="1"/>
  <c r="W41" i="11"/>
  <c r="D213" i="19"/>
  <c r="D207"/>
  <c r="G21"/>
  <c r="F21"/>
  <c r="G17"/>
  <c r="F17"/>
  <c r="F14"/>
  <c r="G14"/>
  <c r="F10"/>
  <c r="G10"/>
  <c r="AC76" i="17"/>
  <c r="AE76"/>
  <c r="Q77"/>
  <c r="AC77" s="1"/>
  <c r="AK77"/>
  <c r="AO8"/>
  <c r="AM8"/>
  <c r="AN8"/>
  <c r="AL8"/>
  <c r="C205" i="19"/>
  <c r="E14" i="1"/>
  <c r="H10" i="14"/>
  <c r="E18"/>
  <c r="E22" s="1"/>
  <c r="L94" i="19"/>
  <c r="M94"/>
  <c r="C93" i="18"/>
  <c r="E93" s="1"/>
  <c r="I17" i="14"/>
  <c r="M93" i="19"/>
  <c r="L93"/>
  <c r="I16" i="14"/>
  <c r="C92" i="18"/>
  <c r="E92" s="1"/>
  <c r="M91" i="19"/>
  <c r="L91"/>
  <c r="I14" i="14"/>
  <c r="C90" i="18"/>
  <c r="E90" s="1"/>
  <c r="L90" i="19"/>
  <c r="M90"/>
  <c r="C89" i="18"/>
  <c r="E89" s="1"/>
  <c r="I13" i="14"/>
  <c r="W39" i="5"/>
  <c r="X39"/>
  <c r="W37"/>
  <c r="X37"/>
  <c r="W35"/>
  <c r="X35"/>
  <c r="W31"/>
  <c r="X31"/>
  <c r="W29"/>
  <c r="X29"/>
  <c r="W27"/>
  <c r="X27"/>
  <c r="W25"/>
  <c r="X25"/>
  <c r="R73"/>
  <c r="R71"/>
  <c r="R69"/>
  <c r="R67"/>
  <c r="R65"/>
  <c r="R63"/>
  <c r="AB62"/>
  <c r="AB61"/>
  <c r="AB60"/>
  <c r="AB59"/>
  <c r="AB58"/>
  <c r="AB57"/>
  <c r="AB56"/>
  <c r="AB55"/>
  <c r="AB54"/>
  <c r="R51"/>
  <c r="R49"/>
  <c r="R47"/>
  <c r="R45"/>
  <c r="R23"/>
  <c r="R21"/>
  <c r="T21" s="1"/>
  <c r="R19"/>
  <c r="R17"/>
  <c r="G38" i="10"/>
  <c r="G19"/>
  <c r="Q22" i="6" s="1"/>
  <c r="R74" i="5"/>
  <c r="R53"/>
  <c r="D219" i="23"/>
  <c r="F95"/>
  <c r="G79"/>
  <c r="F78" i="16"/>
  <c r="T23" i="5"/>
  <c r="G6" i="24"/>
  <c r="G75" s="1"/>
  <c r="E75"/>
  <c r="F6"/>
  <c r="F75" s="1"/>
  <c r="Z5" i="12"/>
  <c r="E204" i="23"/>
  <c r="F203"/>
  <c r="F204" s="1"/>
  <c r="G203"/>
  <c r="G204" s="1"/>
  <c r="AB23" i="10"/>
  <c r="AC23" s="1"/>
  <c r="G101" i="23"/>
  <c r="G106" s="1"/>
  <c r="E106"/>
  <c r="F101"/>
  <c r="F106" s="1"/>
  <c r="Y6" i="11"/>
  <c r="E134" i="23"/>
  <c r="F133"/>
  <c r="F134" s="1"/>
  <c r="G133"/>
  <c r="G134" s="1"/>
  <c r="Y91" i="11"/>
  <c r="F122" i="23"/>
  <c r="F127" s="1"/>
  <c r="E127"/>
  <c r="G122"/>
  <c r="G127" s="1"/>
  <c r="Y60" i="11"/>
  <c r="F108" i="23"/>
  <c r="F112" s="1"/>
  <c r="E112"/>
  <c r="G108"/>
  <c r="G112" s="1"/>
  <c r="Y24" i="11"/>
  <c r="E85" i="23"/>
  <c r="F84"/>
  <c r="F85" s="1"/>
  <c r="G84"/>
  <c r="G85" s="1"/>
  <c r="G6" i="21"/>
  <c r="G75" s="1"/>
  <c r="E75"/>
  <c r="F6"/>
  <c r="F75" s="1"/>
  <c r="X5" i="13"/>
  <c r="L92" i="23"/>
  <c r="M92"/>
  <c r="D91" i="18"/>
  <c r="J15" i="14"/>
  <c r="L88" i="23"/>
  <c r="M88"/>
  <c r="J11" i="14"/>
  <c r="D87" i="18"/>
  <c r="G98" i="23"/>
  <c r="F98"/>
  <c r="G199" i="19"/>
  <c r="G200" s="1"/>
  <c r="E200"/>
  <c r="F199"/>
  <c r="F200" s="1"/>
  <c r="Z23" i="10"/>
  <c r="AA23" s="1"/>
  <c r="G121" i="19"/>
  <c r="G123" s="1"/>
  <c r="E123"/>
  <c r="F121"/>
  <c r="F123" s="1"/>
  <c r="W60" i="11"/>
  <c r="G101" i="19"/>
  <c r="G105" s="1"/>
  <c r="E105"/>
  <c r="F101"/>
  <c r="F105" s="1"/>
  <c r="W6" i="11"/>
  <c r="E203" i="19"/>
  <c r="F202"/>
  <c r="F203" s="1"/>
  <c r="G202"/>
  <c r="G203" s="1"/>
  <c r="Z29" i="10"/>
  <c r="AA29" s="1"/>
  <c r="E127" i="19"/>
  <c r="F125"/>
  <c r="F127" s="1"/>
  <c r="G125"/>
  <c r="G127" s="1"/>
  <c r="Y77" i="11"/>
  <c r="F107" i="19"/>
  <c r="F111" s="1"/>
  <c r="E111"/>
  <c r="G107"/>
  <c r="G111" s="1"/>
  <c r="W24" i="11"/>
  <c r="E85" i="19"/>
  <c r="F84"/>
  <c r="F85" s="1"/>
  <c r="G84"/>
  <c r="G85" s="1"/>
  <c r="E75"/>
  <c r="F6"/>
  <c r="G6"/>
  <c r="E99" i="23"/>
  <c r="G97"/>
  <c r="G99" s="1"/>
  <c r="F97"/>
  <c r="F99" s="1"/>
  <c r="F196" i="19"/>
  <c r="G196"/>
  <c r="Z17" i="10"/>
  <c r="AA17" s="1"/>
  <c r="F194" i="19"/>
  <c r="G194"/>
  <c r="Z13" i="10"/>
  <c r="AA13" s="1"/>
  <c r="AD13" s="1"/>
  <c r="F192" i="19"/>
  <c r="G192"/>
  <c r="Z11" i="10"/>
  <c r="AA11" s="1"/>
  <c r="AD11" s="1"/>
  <c r="F188" i="19"/>
  <c r="G188"/>
  <c r="F148"/>
  <c r="G148"/>
  <c r="F146"/>
  <c r="G146"/>
  <c r="F142"/>
  <c r="G142"/>
  <c r="F140"/>
  <c r="G140"/>
  <c r="F134"/>
  <c r="G134"/>
  <c r="Z35" i="10"/>
  <c r="AA35" s="1"/>
  <c r="E99" i="19"/>
  <c r="G97"/>
  <c r="F97"/>
  <c r="E79"/>
  <c r="G77"/>
  <c r="G79" s="1"/>
  <c r="F77"/>
  <c r="F79" s="1"/>
  <c r="G71"/>
  <c r="F71"/>
  <c r="G67"/>
  <c r="F67"/>
  <c r="G63"/>
  <c r="F63"/>
  <c r="G59"/>
  <c r="F59"/>
  <c r="G55"/>
  <c r="F55"/>
  <c r="F32"/>
  <c r="G32"/>
  <c r="F28"/>
  <c r="G28"/>
  <c r="F24"/>
  <c r="G24"/>
  <c r="W40" i="5"/>
  <c r="X40"/>
  <c r="W36"/>
  <c r="X36"/>
  <c r="W34"/>
  <c r="X34"/>
  <c r="W32"/>
  <c r="X32"/>
  <c r="W30"/>
  <c r="X30"/>
  <c r="W28"/>
  <c r="X28"/>
  <c r="W26"/>
  <c r="X26"/>
  <c r="R72"/>
  <c r="R70"/>
  <c r="R68"/>
  <c r="R66"/>
  <c r="R64"/>
  <c r="R52"/>
  <c r="R50"/>
  <c r="R48"/>
  <c r="R46"/>
  <c r="R44"/>
  <c r="AB43"/>
  <c r="AB42"/>
  <c r="AB41"/>
  <c r="U40"/>
  <c r="AB40"/>
  <c r="U39"/>
  <c r="AB39"/>
  <c r="U37"/>
  <c r="AB37"/>
  <c r="U36"/>
  <c r="AB36"/>
  <c r="U35"/>
  <c r="AB35"/>
  <c r="U34"/>
  <c r="AB34"/>
  <c r="U32"/>
  <c r="AB32"/>
  <c r="U31"/>
  <c r="AB31"/>
  <c r="U30"/>
  <c r="AB30"/>
  <c r="U29"/>
  <c r="AB29"/>
  <c r="U28"/>
  <c r="AB28"/>
  <c r="U27"/>
  <c r="AB27"/>
  <c r="U26"/>
  <c r="AB26"/>
  <c r="U25"/>
  <c r="AB25"/>
  <c r="R22"/>
  <c r="R20"/>
  <c r="T20" s="1"/>
  <c r="R18"/>
  <c r="O16"/>
  <c r="P16" s="1"/>
  <c r="N77"/>
  <c r="E24" i="1" s="1"/>
  <c r="AB15" i="5"/>
  <c r="AB14"/>
  <c r="AB13"/>
  <c r="AB12"/>
  <c r="AB11"/>
  <c r="AB10"/>
  <c r="AB9"/>
  <c r="R24"/>
  <c r="G75" i="26"/>
  <c r="D211" i="23"/>
  <c r="G95"/>
  <c r="D215" i="19"/>
  <c r="M76" i="15"/>
  <c r="T24" i="5"/>
  <c r="T22"/>
  <c r="L92" i="19"/>
  <c r="M92"/>
  <c r="C91" i="18"/>
  <c r="E91" s="1"/>
  <c r="I15" i="14"/>
  <c r="F186" i="19"/>
  <c r="G186"/>
  <c r="F184"/>
  <c r="G184"/>
  <c r="F182"/>
  <c r="G182"/>
  <c r="F180"/>
  <c r="G180"/>
  <c r="F178"/>
  <c r="G178"/>
  <c r="F176"/>
  <c r="G176"/>
  <c r="F174"/>
  <c r="G174"/>
  <c r="F172"/>
  <c r="G172"/>
  <c r="F170"/>
  <c r="G170"/>
  <c r="F168"/>
  <c r="G168"/>
  <c r="F166"/>
  <c r="G166"/>
  <c r="F164"/>
  <c r="G164"/>
  <c r="F162"/>
  <c r="G162"/>
  <c r="F160"/>
  <c r="G160"/>
  <c r="F158"/>
  <c r="G158"/>
  <c r="F156"/>
  <c r="G156"/>
  <c r="F154"/>
  <c r="G154"/>
  <c r="G51"/>
  <c r="F51"/>
  <c r="G47"/>
  <c r="F47"/>
  <c r="G41"/>
  <c r="F41"/>
  <c r="G37"/>
  <c r="F37"/>
  <c r="G33"/>
  <c r="F33"/>
  <c r="G29"/>
  <c r="F29"/>
  <c r="G25"/>
  <c r="F25"/>
  <c r="F22"/>
  <c r="G22"/>
  <c r="F18"/>
  <c r="G18"/>
  <c r="G11"/>
  <c r="F11"/>
  <c r="G7"/>
  <c r="F7"/>
  <c r="D9" i="16"/>
  <c r="H77" i="17"/>
  <c r="E29" i="1" s="1"/>
  <c r="AD54" i="13"/>
  <c r="AE54" s="1"/>
  <c r="AG54" s="1"/>
  <c r="N55" i="4"/>
  <c r="AD50" i="13"/>
  <c r="AE50" s="1"/>
  <c r="AG50" s="1"/>
  <c r="N51" i="4"/>
  <c r="AD46" i="13"/>
  <c r="AE46" s="1"/>
  <c r="AG46" s="1"/>
  <c r="N47" i="4"/>
  <c r="AD42" i="13"/>
  <c r="AE42" s="1"/>
  <c r="AG42" s="1"/>
  <c r="N43" i="4"/>
  <c r="AD36" i="13"/>
  <c r="AE36" s="1"/>
  <c r="AG36" s="1"/>
  <c r="N37" i="4"/>
  <c r="AD32" i="13"/>
  <c r="AE32" s="1"/>
  <c r="AG32" s="1"/>
  <c r="N33" i="4"/>
  <c r="AE28" i="13"/>
  <c r="AG28" s="1"/>
  <c r="AD28"/>
  <c r="N29" i="4"/>
  <c r="AD24" i="13"/>
  <c r="AE24" s="1"/>
  <c r="AG24" s="1"/>
  <c r="N25" i="4"/>
  <c r="AD20" i="13"/>
  <c r="AE20" s="1"/>
  <c r="AG20" s="1"/>
  <c r="N21" i="4"/>
  <c r="AD16" i="13"/>
  <c r="AE16" s="1"/>
  <c r="AG16" s="1"/>
  <c r="N17" i="4"/>
  <c r="AD12" i="13"/>
  <c r="AE12" s="1"/>
  <c r="AG12" s="1"/>
  <c r="N13" i="4"/>
  <c r="AD8" i="13"/>
  <c r="AE8" s="1"/>
  <c r="AG8" s="1"/>
  <c r="N9" i="4"/>
  <c r="AD72" i="12"/>
  <c r="AE72" s="1"/>
  <c r="AG72" s="1"/>
  <c r="M73" i="4"/>
  <c r="AD68" i="12"/>
  <c r="AE68" s="1"/>
  <c r="AG68" s="1"/>
  <c r="M69" i="4"/>
  <c r="AE64" i="12"/>
  <c r="AG64" s="1"/>
  <c r="AD64"/>
  <c r="M65" i="4"/>
  <c r="AD60" i="12"/>
  <c r="AE60" s="1"/>
  <c r="AG60" s="1"/>
  <c r="M61" i="4"/>
  <c r="AD56" i="12"/>
  <c r="AE56" s="1"/>
  <c r="AG56" s="1"/>
  <c r="M57" i="4"/>
  <c r="AD52" i="12"/>
  <c r="AE52" s="1"/>
  <c r="AG52" s="1"/>
  <c r="M53" i="4"/>
  <c r="AD48" i="12"/>
  <c r="AE48" s="1"/>
  <c r="AG48" s="1"/>
  <c r="M49" i="4"/>
  <c r="AD44" i="12"/>
  <c r="AE44" s="1"/>
  <c r="AG44" s="1"/>
  <c r="M45" i="4"/>
  <c r="AD40" i="12"/>
  <c r="AE40" s="1"/>
  <c r="AG40" s="1"/>
  <c r="M41" i="4"/>
  <c r="AD38" i="12"/>
  <c r="AE38" s="1"/>
  <c r="AG38" s="1"/>
  <c r="M39" i="4"/>
  <c r="AE34" i="12"/>
  <c r="AG34" s="1"/>
  <c r="AD34"/>
  <c r="M35" i="4"/>
  <c r="AD30" i="12"/>
  <c r="AE30" s="1"/>
  <c r="AG30" s="1"/>
  <c r="M31" i="4"/>
  <c r="AD26" i="12"/>
  <c r="AE26" s="1"/>
  <c r="AG26" s="1"/>
  <c r="M27" i="4"/>
  <c r="AD18" i="12"/>
  <c r="AE18" s="1"/>
  <c r="AG18" s="1"/>
  <c r="M19" i="4"/>
  <c r="AD14" i="12"/>
  <c r="AE14" s="1"/>
  <c r="AG14" s="1"/>
  <c r="M15" i="4"/>
  <c r="AD10" i="12"/>
  <c r="AE10" s="1"/>
  <c r="AG10" s="1"/>
  <c r="M11" i="4"/>
  <c r="AD6" i="12"/>
  <c r="AE6" s="1"/>
  <c r="AG6" s="1"/>
  <c r="M7" i="4"/>
  <c r="AE78" i="11"/>
  <c r="AF78" s="1"/>
  <c r="AH78" s="1"/>
  <c r="AJ78" s="1"/>
  <c r="AK78" s="1"/>
  <c r="K31" i="3" s="1"/>
  <c r="K31" i="4"/>
  <c r="AC61" i="11"/>
  <c r="AD61" s="1"/>
  <c r="AF61" s="1"/>
  <c r="AH61" s="1"/>
  <c r="AI61" s="1"/>
  <c r="I31" i="3" s="1"/>
  <c r="I31" i="4"/>
  <c r="AC42" i="11"/>
  <c r="AD42" s="1"/>
  <c r="AF42" s="1"/>
  <c r="AH42" s="1"/>
  <c r="AI42" s="1"/>
  <c r="H31" i="3" s="1"/>
  <c r="H31" i="4"/>
  <c r="C38" i="10"/>
  <c r="C19"/>
  <c r="AR73" i="17"/>
  <c r="Y73" i="5"/>
  <c r="AR69" i="17"/>
  <c r="Y69" i="5"/>
  <c r="AR65" i="17"/>
  <c r="Y65" i="5"/>
  <c r="AR61" i="17"/>
  <c r="Y61" i="5"/>
  <c r="AR57" i="17"/>
  <c r="Y57" i="5"/>
  <c r="AR53" i="17"/>
  <c r="Y53" i="5"/>
  <c r="AR49" i="17"/>
  <c r="Y49" i="5"/>
  <c r="AR45" i="17"/>
  <c r="Y45" i="5"/>
  <c r="AR43" i="17"/>
  <c r="Y43" i="5"/>
  <c r="AR41" i="17"/>
  <c r="Y41" i="5"/>
  <c r="AR37" i="17"/>
  <c r="Y37" i="5"/>
  <c r="AR33" i="17"/>
  <c r="Y33" i="5"/>
  <c r="AR29" i="17"/>
  <c r="Y29" i="5"/>
  <c r="AR25" i="17"/>
  <c r="Y25" i="5"/>
  <c r="AR21" i="17"/>
  <c r="Y21" i="5"/>
  <c r="AR17" i="17"/>
  <c r="Y17" i="5"/>
  <c r="AR13" i="17"/>
  <c r="Y13" i="5"/>
  <c r="AR9" i="17"/>
  <c r="Y9" i="5"/>
  <c r="AR72" i="17"/>
  <c r="Y72" i="5"/>
  <c r="AR68" i="17"/>
  <c r="Y68" i="5"/>
  <c r="AR64" i="17"/>
  <c r="Y64" i="5"/>
  <c r="AR60" i="17"/>
  <c r="Y60" i="5"/>
  <c r="AR56" i="17"/>
  <c r="Y56" i="5"/>
  <c r="AR52" i="17"/>
  <c r="Y52" i="5"/>
  <c r="AR48" i="17"/>
  <c r="Y48" i="5"/>
  <c r="AR44" i="17"/>
  <c r="Y44" i="5"/>
  <c r="AR40" i="17"/>
  <c r="Y40" i="5"/>
  <c r="AR36" i="17"/>
  <c r="Y36" i="5"/>
  <c r="AR32" i="17"/>
  <c r="Y32" i="5"/>
  <c r="AR28" i="17"/>
  <c r="Y28" i="5"/>
  <c r="AR24" i="17"/>
  <c r="Y24" i="5"/>
  <c r="AR20" i="17"/>
  <c r="Y20" i="5"/>
  <c r="AR16" i="17"/>
  <c r="Y16" i="5"/>
  <c r="AR12" i="17"/>
  <c r="Y12" i="5"/>
  <c r="AI73" i="13"/>
  <c r="AJ73" s="1"/>
  <c r="N74" i="3" s="1"/>
  <c r="I109" i="23"/>
  <c r="I108" i="19"/>
  <c r="F25" i="11"/>
  <c r="T7" i="2"/>
  <c r="T76" s="1"/>
  <c r="G73" i="7"/>
  <c r="E19" i="1"/>
  <c r="G12"/>
  <c r="H12"/>
  <c r="R76" i="5"/>
  <c r="AI71" i="13"/>
  <c r="AJ71" s="1"/>
  <c r="N72" i="3" s="1"/>
  <c r="AI67" i="13"/>
  <c r="AJ67" s="1"/>
  <c r="N68" i="3" s="1"/>
  <c r="AI63" i="13"/>
  <c r="AJ63" s="1"/>
  <c r="N64" i="3" s="1"/>
  <c r="AI59" i="13"/>
  <c r="AJ59" s="1"/>
  <c r="N60" i="3" s="1"/>
  <c r="AI55" i="13"/>
  <c r="AJ55" s="1"/>
  <c r="N56" i="3" s="1"/>
  <c r="AI51" i="13"/>
  <c r="AJ51" s="1"/>
  <c r="N52" i="3" s="1"/>
  <c r="AI47" i="13"/>
  <c r="AJ47" s="1"/>
  <c r="N48" i="3" s="1"/>
  <c r="AI43" i="13"/>
  <c r="AJ43" s="1"/>
  <c r="N44" i="3" s="1"/>
  <c r="AI33" i="13"/>
  <c r="AJ33" s="1"/>
  <c r="N34" i="3" s="1"/>
  <c r="AI25" i="13"/>
  <c r="AJ25" s="1"/>
  <c r="N26" i="3" s="1"/>
  <c r="AI21" i="13"/>
  <c r="AJ21" s="1"/>
  <c r="N22" i="3" s="1"/>
  <c r="AI17" i="13"/>
  <c r="AJ17" s="1"/>
  <c r="N18" i="3" s="1"/>
  <c r="AI13" i="13"/>
  <c r="AJ13" s="1"/>
  <c r="N14" i="3" s="1"/>
  <c r="AI9" i="13"/>
  <c r="AJ9" s="1"/>
  <c r="N10" i="3" s="1"/>
  <c r="AI73" i="12"/>
  <c r="AJ73" s="1"/>
  <c r="M74" i="3" s="1"/>
  <c r="AI69" i="12"/>
  <c r="AJ69" s="1"/>
  <c r="M70" i="3" s="1"/>
  <c r="AI65" i="12"/>
  <c r="AJ65" s="1"/>
  <c r="M66" i="3" s="1"/>
  <c r="AI61" i="12"/>
  <c r="AJ61" s="1"/>
  <c r="M62" i="3" s="1"/>
  <c r="AI57" i="12"/>
  <c r="AJ57" s="1"/>
  <c r="M58" i="3" s="1"/>
  <c r="AI53" i="12"/>
  <c r="AJ53" s="1"/>
  <c r="M54" i="3" s="1"/>
  <c r="AI49" i="12"/>
  <c r="AJ49" s="1"/>
  <c r="M50" i="3" s="1"/>
  <c r="AI45" i="12"/>
  <c r="AJ45" s="1"/>
  <c r="M46" i="3" s="1"/>
  <c r="AI41" i="12"/>
  <c r="AJ41" s="1"/>
  <c r="M42" i="3" s="1"/>
  <c r="AI39" i="12"/>
  <c r="AJ39" s="1"/>
  <c r="M40" i="3" s="1"/>
  <c r="AI35" i="12"/>
  <c r="AJ35" s="1"/>
  <c r="M36" i="3" s="1"/>
  <c r="AI31" i="12"/>
  <c r="AJ31" s="1"/>
  <c r="M32" i="3" s="1"/>
  <c r="AI27" i="12"/>
  <c r="AJ27" s="1"/>
  <c r="M28" i="3" s="1"/>
  <c r="AI23" i="12"/>
  <c r="AJ23" s="1"/>
  <c r="M24" i="3" s="1"/>
  <c r="AI19" i="12"/>
  <c r="AJ19" s="1"/>
  <c r="M20" i="3" s="1"/>
  <c r="AI15" i="12"/>
  <c r="AJ15" s="1"/>
  <c r="M16" i="3" s="1"/>
  <c r="AI11" i="12"/>
  <c r="AJ11" s="1"/>
  <c r="M12" i="3" s="1"/>
  <c r="AI7" i="12"/>
  <c r="AJ7" s="1"/>
  <c r="M8" i="3" s="1"/>
  <c r="AC25" i="11"/>
  <c r="G42" i="4"/>
  <c r="V11" i="11"/>
  <c r="V15" s="1"/>
  <c r="Y30" i="10"/>
  <c r="I73" i="24"/>
  <c r="I73" i="20"/>
  <c r="G72" i="12"/>
  <c r="I73" i="25"/>
  <c r="I73" i="21"/>
  <c r="G72" i="13"/>
  <c r="I71" i="25"/>
  <c r="I71" i="21"/>
  <c r="G70" i="13"/>
  <c r="I69" i="25"/>
  <c r="I69" i="21"/>
  <c r="G68" i="13"/>
  <c r="I67" i="25"/>
  <c r="I67" i="21"/>
  <c r="G66" i="13"/>
  <c r="I65" i="25"/>
  <c r="I65" i="21"/>
  <c r="G64" i="13"/>
  <c r="I63" i="25"/>
  <c r="I63" i="21"/>
  <c r="G62" i="13"/>
  <c r="I108" i="23"/>
  <c r="I107" i="19"/>
  <c r="E27" i="11"/>
  <c r="F24"/>
  <c r="I59" i="24"/>
  <c r="I59" i="20"/>
  <c r="G58" i="12"/>
  <c r="I119" i="23"/>
  <c r="I118" i="19"/>
  <c r="F46" i="11"/>
  <c r="I57" i="25"/>
  <c r="I57" i="21"/>
  <c r="G56" i="13"/>
  <c r="I55" i="25"/>
  <c r="I55" i="21"/>
  <c r="G54" i="13"/>
  <c r="I53" i="24"/>
  <c r="I53" i="20"/>
  <c r="G52" i="12"/>
  <c r="I51" i="24"/>
  <c r="I51" i="20"/>
  <c r="G50" i="12"/>
  <c r="I49" i="25"/>
  <c r="I49" i="21"/>
  <c r="G48" i="13"/>
  <c r="I47" i="25"/>
  <c r="I47" i="21"/>
  <c r="G46" i="13"/>
  <c r="I45" i="25"/>
  <c r="I45" i="21"/>
  <c r="G44" i="13"/>
  <c r="I42" i="25"/>
  <c r="I42" i="21"/>
  <c r="G41" i="13"/>
  <c r="I39" i="25"/>
  <c r="I39" i="21"/>
  <c r="G38" i="13"/>
  <c r="I37" i="25"/>
  <c r="I37" i="21"/>
  <c r="G36" i="13"/>
  <c r="I35" i="25"/>
  <c r="I35" i="21"/>
  <c r="G34" i="13"/>
  <c r="I33" i="25"/>
  <c r="I33" i="21"/>
  <c r="G32" i="13"/>
  <c r="I31" i="25"/>
  <c r="I31" i="21"/>
  <c r="G30" i="13"/>
  <c r="I29" i="24"/>
  <c r="I29" i="20"/>
  <c r="G28" i="12"/>
  <c r="I27" i="24"/>
  <c r="I27" i="20"/>
  <c r="G26" i="12"/>
  <c r="I25" i="24"/>
  <c r="I25" i="20"/>
  <c r="G24" i="12"/>
  <c r="I23" i="24"/>
  <c r="I23" i="20"/>
  <c r="G22" i="12"/>
  <c r="I20" i="24"/>
  <c r="I20" i="20"/>
  <c r="G19" i="12"/>
  <c r="I18" i="24"/>
  <c r="I18" i="20"/>
  <c r="G17" i="12"/>
  <c r="I16" i="24"/>
  <c r="I16" i="20"/>
  <c r="G15" i="12"/>
  <c r="I14" i="24"/>
  <c r="I14" i="20"/>
  <c r="G13" i="12"/>
  <c r="I12" i="24"/>
  <c r="I12" i="20"/>
  <c r="G11" i="12"/>
  <c r="I10" i="24"/>
  <c r="I10" i="20"/>
  <c r="G9" i="12"/>
  <c r="I8" i="24"/>
  <c r="I8" i="20"/>
  <c r="G7" i="12"/>
  <c r="I6" i="24"/>
  <c r="I6" i="20"/>
  <c r="G5" i="12"/>
  <c r="G9" i="1"/>
  <c r="H9"/>
  <c r="AO69" i="13"/>
  <c r="AA70" i="3" s="1"/>
  <c r="AA70" i="4"/>
  <c r="AO65" i="13"/>
  <c r="AA66" i="3" s="1"/>
  <c r="AA66" i="4"/>
  <c r="AO61" i="13"/>
  <c r="AA62" i="3" s="1"/>
  <c r="AA62" i="4"/>
  <c r="AQ71" i="12"/>
  <c r="Z72" i="3" s="1"/>
  <c r="Z72" i="4"/>
  <c r="AQ67" i="12"/>
  <c r="Z68" i="3" s="1"/>
  <c r="Z68" i="4"/>
  <c r="AQ63" i="12"/>
  <c r="Z64" i="3" s="1"/>
  <c r="Z64" i="4"/>
  <c r="AQ59" i="12"/>
  <c r="Z60" i="3" s="1"/>
  <c r="Z60" i="4"/>
  <c r="AQ55" i="12"/>
  <c r="Z56" i="3" s="1"/>
  <c r="Z56" i="4"/>
  <c r="AQ51" i="12"/>
  <c r="Z52" i="3" s="1"/>
  <c r="Z52" i="4"/>
  <c r="AQ47" i="12"/>
  <c r="Z48" i="3" s="1"/>
  <c r="Z48" i="4"/>
  <c r="AQ43" i="12"/>
  <c r="Z44" i="3" s="1"/>
  <c r="Z44" i="4"/>
  <c r="AQ37" i="12"/>
  <c r="Z38" i="3" s="1"/>
  <c r="Z38" i="4"/>
  <c r="AQ33" i="12"/>
  <c r="Z34" i="3" s="1"/>
  <c r="Z34" i="4"/>
  <c r="AQ29" i="12"/>
  <c r="Z30" i="3" s="1"/>
  <c r="Z30" i="4"/>
  <c r="AQ25" i="12"/>
  <c r="Z26" i="3" s="1"/>
  <c r="Z26" i="4"/>
  <c r="AQ21" i="12"/>
  <c r="Z22" i="3" s="1"/>
  <c r="Z22" i="4"/>
  <c r="AQ17" i="12"/>
  <c r="Z18" i="3" s="1"/>
  <c r="Z18" i="4"/>
  <c r="AQ13" i="12"/>
  <c r="Z14" i="3" s="1"/>
  <c r="Z14" i="4"/>
  <c r="AQ9" i="12"/>
  <c r="Z10" i="3" s="1"/>
  <c r="Z10" i="4"/>
  <c r="I74" i="24"/>
  <c r="I74" i="20"/>
  <c r="G73" i="12"/>
  <c r="I103" i="23"/>
  <c r="I102" i="19"/>
  <c r="F8" i="11"/>
  <c r="I72" i="25"/>
  <c r="I72" i="21"/>
  <c r="G71" i="13"/>
  <c r="I70" i="25"/>
  <c r="I70" i="21"/>
  <c r="G69" i="13"/>
  <c r="I68" i="25"/>
  <c r="I68" i="21"/>
  <c r="G67" i="13"/>
  <c r="I66" i="25"/>
  <c r="I66" i="21"/>
  <c r="G65" i="13"/>
  <c r="I64" i="25"/>
  <c r="I64" i="21"/>
  <c r="G63" i="13"/>
  <c r="I62" i="25"/>
  <c r="I62" i="21"/>
  <c r="G61" i="13"/>
  <c r="I60" i="25"/>
  <c r="I60" i="21"/>
  <c r="G59" i="13"/>
  <c r="I58" i="25"/>
  <c r="I58" i="21"/>
  <c r="G57" i="13"/>
  <c r="I56" i="25"/>
  <c r="I56" i="21"/>
  <c r="G55" i="13"/>
  <c r="I54" i="25"/>
  <c r="I54" i="21"/>
  <c r="G53" i="13"/>
  <c r="I52" i="25"/>
  <c r="I52" i="21"/>
  <c r="G51" i="13"/>
  <c r="I50" i="25"/>
  <c r="I50" i="21"/>
  <c r="G49" i="13"/>
  <c r="I48" i="24"/>
  <c r="I48" i="20"/>
  <c r="G47" i="12"/>
  <c r="I46" i="24"/>
  <c r="I46" i="20"/>
  <c r="G45" i="12"/>
  <c r="I43" i="24"/>
  <c r="I43" i="20"/>
  <c r="G42" i="12"/>
  <c r="I40" i="24"/>
  <c r="I40" i="20"/>
  <c r="G39" i="12"/>
  <c r="I38" i="24"/>
  <c r="I38" i="20"/>
  <c r="G37" i="12"/>
  <c r="I36" i="24"/>
  <c r="I36" i="20"/>
  <c r="G35" i="12"/>
  <c r="I34" i="24"/>
  <c r="I34" i="20"/>
  <c r="G33" i="12"/>
  <c r="I32" i="24"/>
  <c r="I32" i="20"/>
  <c r="G31" i="12"/>
  <c r="I30" i="24"/>
  <c r="I30" i="20"/>
  <c r="G29" i="12"/>
  <c r="I28" i="24"/>
  <c r="I28" i="20"/>
  <c r="G27" i="12"/>
  <c r="I26" i="24"/>
  <c r="I26" i="20"/>
  <c r="G25" i="12"/>
  <c r="I24" i="24"/>
  <c r="I24" i="20"/>
  <c r="G23" i="12"/>
  <c r="I21" i="24"/>
  <c r="I21" i="20"/>
  <c r="G20" i="12"/>
  <c r="I19" i="24"/>
  <c r="I19" i="20"/>
  <c r="G18" i="12"/>
  <c r="I17" i="24"/>
  <c r="I17" i="20"/>
  <c r="G16" i="12"/>
  <c r="I133" i="23"/>
  <c r="I129" i="19"/>
  <c r="F91" i="11"/>
  <c r="F92" s="1"/>
  <c r="F96" s="1"/>
  <c r="I15" i="25"/>
  <c r="I15" i="21"/>
  <c r="G14" i="13"/>
  <c r="I13" i="25"/>
  <c r="I13" i="21"/>
  <c r="G12" i="13"/>
  <c r="I11" i="25"/>
  <c r="I11" i="21"/>
  <c r="G10" i="13"/>
  <c r="I9" i="25"/>
  <c r="I9" i="21"/>
  <c r="G8" i="13"/>
  <c r="I7" i="25"/>
  <c r="I7" i="21"/>
  <c r="G6" i="13"/>
  <c r="F72" i="19"/>
  <c r="G72"/>
  <c r="F70"/>
  <c r="G70"/>
  <c r="F68"/>
  <c r="G68"/>
  <c r="F66"/>
  <c r="G66"/>
  <c r="F64"/>
  <c r="G64"/>
  <c r="F62"/>
  <c r="G62"/>
  <c r="F50"/>
  <c r="G50"/>
  <c r="F48"/>
  <c r="G48"/>
  <c r="F46"/>
  <c r="G46"/>
  <c r="R75" i="5"/>
  <c r="R38"/>
  <c r="T38" s="1"/>
  <c r="T76"/>
  <c r="T75"/>
  <c r="T74"/>
  <c r="T73"/>
  <c r="T72"/>
  <c r="T71"/>
  <c r="T70"/>
  <c r="T69"/>
  <c r="T68"/>
  <c r="T67"/>
  <c r="T66"/>
  <c r="T65"/>
  <c r="T64"/>
  <c r="T63"/>
  <c r="T62"/>
  <c r="T61"/>
  <c r="T60"/>
  <c r="T59"/>
  <c r="T58"/>
  <c r="T57"/>
  <c r="T56"/>
  <c r="T55"/>
  <c r="T54"/>
  <c r="T53"/>
  <c r="T52"/>
  <c r="T51"/>
  <c r="T50"/>
  <c r="T49"/>
  <c r="T48"/>
  <c r="T47"/>
  <c r="T46"/>
  <c r="T45"/>
  <c r="T44"/>
  <c r="T19"/>
  <c r="T18"/>
  <c r="T17"/>
  <c r="T15"/>
  <c r="T14"/>
  <c r="T13"/>
  <c r="T12"/>
  <c r="T11"/>
  <c r="T10"/>
  <c r="T9"/>
  <c r="G95" i="19"/>
  <c r="T43" i="5"/>
  <c r="W74" i="13"/>
  <c r="W78" s="1"/>
  <c r="AB63" i="11"/>
  <c r="G62" i="9"/>
  <c r="G63" s="1"/>
  <c r="G65" s="1"/>
  <c r="Q41" i="6" s="1"/>
  <c r="Q75" s="1"/>
  <c r="F10" i="8"/>
  <c r="L76" i="15"/>
  <c r="W74" i="12"/>
  <c r="W78" s="1"/>
  <c r="AB62" i="11"/>
  <c r="V47"/>
  <c r="AA25"/>
  <c r="G195" i="19"/>
  <c r="F195"/>
  <c r="Z14" i="10"/>
  <c r="AA14" s="1"/>
  <c r="AD14" s="1"/>
  <c r="G193" i="19"/>
  <c r="F193"/>
  <c r="Z12" i="10"/>
  <c r="AA12" s="1"/>
  <c r="E197" i="19"/>
  <c r="G191"/>
  <c r="F191"/>
  <c r="Z10" i="10"/>
  <c r="G149" i="19"/>
  <c r="F149"/>
  <c r="G147"/>
  <c r="F147"/>
  <c r="G145"/>
  <c r="F145"/>
  <c r="G141"/>
  <c r="F141"/>
  <c r="E189"/>
  <c r="G139"/>
  <c r="F139"/>
  <c r="G133"/>
  <c r="F133"/>
  <c r="Z28" i="10"/>
  <c r="G73" i="19"/>
  <c r="F73"/>
  <c r="G69"/>
  <c r="F69"/>
  <c r="G65"/>
  <c r="F65"/>
  <c r="G61"/>
  <c r="F61"/>
  <c r="G57"/>
  <c r="F57"/>
  <c r="G53"/>
  <c r="F53"/>
  <c r="G43"/>
  <c r="F43"/>
  <c r="F30"/>
  <c r="G30"/>
  <c r="F26"/>
  <c r="G26"/>
  <c r="G19"/>
  <c r="F19"/>
  <c r="G15"/>
  <c r="F15"/>
  <c r="F12"/>
  <c r="G12"/>
  <c r="F8"/>
  <c r="G8"/>
  <c r="AE77" i="17"/>
  <c r="AQ8"/>
  <c r="AD8"/>
  <c r="C9" i="16"/>
  <c r="C101" i="15"/>
  <c r="C98"/>
  <c r="C100" s="1"/>
  <c r="C102" s="1"/>
  <c r="F4" s="1"/>
  <c r="G6" i="22"/>
  <c r="G75" s="1"/>
  <c r="E75"/>
  <c r="F6"/>
  <c r="F75" s="1"/>
  <c r="G185" i="19"/>
  <c r="F185"/>
  <c r="G183"/>
  <c r="F183"/>
  <c r="G181"/>
  <c r="F181"/>
  <c r="G179"/>
  <c r="F179"/>
  <c r="G177"/>
  <c r="F177"/>
  <c r="G175"/>
  <c r="F175"/>
  <c r="G173"/>
  <c r="F173"/>
  <c r="G171"/>
  <c r="F171"/>
  <c r="G169"/>
  <c r="F169"/>
  <c r="G167"/>
  <c r="F167"/>
  <c r="G165"/>
  <c r="F165"/>
  <c r="G163"/>
  <c r="F163"/>
  <c r="G161"/>
  <c r="F161"/>
  <c r="G159"/>
  <c r="F159"/>
  <c r="G157"/>
  <c r="F157"/>
  <c r="G155"/>
  <c r="F155"/>
  <c r="G153"/>
  <c r="F153"/>
  <c r="G98"/>
  <c r="F98"/>
  <c r="G49"/>
  <c r="F49"/>
  <c r="G45"/>
  <c r="F45"/>
  <c r="G39"/>
  <c r="F39"/>
  <c r="G35"/>
  <c r="F35"/>
  <c r="G31"/>
  <c r="F31"/>
  <c r="G27"/>
  <c r="F27"/>
  <c r="G23"/>
  <c r="F23"/>
  <c r="F20"/>
  <c r="G20"/>
  <c r="F16"/>
  <c r="G16"/>
  <c r="G13"/>
  <c r="F13"/>
  <c r="G9"/>
  <c r="F9"/>
  <c r="M89"/>
  <c r="L89"/>
  <c r="C88" i="18"/>
  <c r="E88" s="1"/>
  <c r="I12" i="14"/>
  <c r="K12" s="1"/>
  <c r="L88" i="19"/>
  <c r="M88"/>
  <c r="C87" i="18"/>
  <c r="E87" s="1"/>
  <c r="I11" i="14"/>
  <c r="K11" s="1"/>
  <c r="M87" i="19"/>
  <c r="K95"/>
  <c r="L87"/>
  <c r="C86" i="18"/>
  <c r="I10" i="14"/>
  <c r="AD56" i="13"/>
  <c r="AE56" s="1"/>
  <c r="AG56" s="1"/>
  <c r="N57" i="4"/>
  <c r="AD52" i="13"/>
  <c r="N53" i="4"/>
  <c r="AD48" i="13"/>
  <c r="AE48" s="1"/>
  <c r="AG48" s="1"/>
  <c r="N49" i="4"/>
  <c r="AD44" i="13"/>
  <c r="N45" i="4"/>
  <c r="AE40" i="13"/>
  <c r="AG40" s="1"/>
  <c r="AD40"/>
  <c r="N41" i="4"/>
  <c r="AD38" i="13"/>
  <c r="N39" i="4"/>
  <c r="AD34" i="13"/>
  <c r="AE34" s="1"/>
  <c r="AG34" s="1"/>
  <c r="N35" i="4"/>
  <c r="AD30" i="13"/>
  <c r="N31" i="4"/>
  <c r="AD26" i="13"/>
  <c r="AE26" s="1"/>
  <c r="AG26" s="1"/>
  <c r="N27" i="4"/>
  <c r="AD22" i="13"/>
  <c r="N23" i="4"/>
  <c r="AD18" i="13"/>
  <c r="AE18" s="1"/>
  <c r="AG18" s="1"/>
  <c r="N19" i="4"/>
  <c r="AD14" i="13"/>
  <c r="N15" i="4"/>
  <c r="AE10" i="13"/>
  <c r="AG10" s="1"/>
  <c r="AD10"/>
  <c r="N11" i="4"/>
  <c r="AD6" i="13"/>
  <c r="N7" i="4"/>
  <c r="AD70" i="12"/>
  <c r="AE70" s="1"/>
  <c r="AG70" s="1"/>
  <c r="M71" i="4"/>
  <c r="AD66" i="12"/>
  <c r="M67" i="4"/>
  <c r="AD62" i="12"/>
  <c r="AE62" s="1"/>
  <c r="AG62" s="1"/>
  <c r="M63" i="4"/>
  <c r="AD58" i="12"/>
  <c r="M59" i="4"/>
  <c r="AD54" i="12"/>
  <c r="AE54" s="1"/>
  <c r="AG54" s="1"/>
  <c r="M55" i="4"/>
  <c r="AD50" i="12"/>
  <c r="M51" i="4"/>
  <c r="AE46" i="12"/>
  <c r="AG46" s="1"/>
  <c r="AD46"/>
  <c r="M47" i="4"/>
  <c r="AD42" i="12"/>
  <c r="M43" i="4"/>
  <c r="AD36" i="12"/>
  <c r="AE36" s="1"/>
  <c r="AG36" s="1"/>
  <c r="M37" i="4"/>
  <c r="AD32" i="12"/>
  <c r="M33" i="4"/>
  <c r="AD28" i="12"/>
  <c r="AE28" s="1"/>
  <c r="AG28" s="1"/>
  <c r="M29" i="4"/>
  <c r="AD24" i="12"/>
  <c r="M25" i="4"/>
  <c r="AD20" i="12"/>
  <c r="AE20" s="1"/>
  <c r="AG20" s="1"/>
  <c r="M21" i="4"/>
  <c r="AD16" i="12"/>
  <c r="M17" i="4"/>
  <c r="AE12" i="12"/>
  <c r="AG12" s="1"/>
  <c r="AD12"/>
  <c r="M13" i="4"/>
  <c r="AD8" i="12"/>
  <c r="M9" i="4"/>
  <c r="V92" i="11"/>
  <c r="X79"/>
  <c r="AC46"/>
  <c r="AD46" s="1"/>
  <c r="AF46" s="1"/>
  <c r="AH46" s="1"/>
  <c r="AI46" s="1"/>
  <c r="H57" i="3" s="1"/>
  <c r="H57" i="4"/>
  <c r="AR75" i="17"/>
  <c r="Y75" i="5"/>
  <c r="AR71" i="17"/>
  <c r="Y71" i="5"/>
  <c r="AR67" i="17"/>
  <c r="Y67" i="5"/>
  <c r="AR63" i="17"/>
  <c r="Y63" i="5"/>
  <c r="AR59" i="17"/>
  <c r="Y59" i="5"/>
  <c r="AR55" i="17"/>
  <c r="Y55" i="5"/>
  <c r="AR51" i="17"/>
  <c r="Y51" i="5"/>
  <c r="AR47" i="17"/>
  <c r="Y47" i="5"/>
  <c r="AR39" i="17"/>
  <c r="Y39" i="5"/>
  <c r="AR35" i="17"/>
  <c r="Y35" i="5"/>
  <c r="AR31" i="17"/>
  <c r="Y31" i="5"/>
  <c r="AR27" i="17"/>
  <c r="Y27" i="5"/>
  <c r="AR23" i="17"/>
  <c r="Y23" i="5"/>
  <c r="AR19" i="17"/>
  <c r="Y19" i="5"/>
  <c r="AR15" i="17"/>
  <c r="Y15" i="5"/>
  <c r="AR11" i="17"/>
  <c r="Y11" i="5"/>
  <c r="AR74" i="17"/>
  <c r="Y74" i="5"/>
  <c r="AR70" i="17"/>
  <c r="Y70" i="5"/>
  <c r="AR66" i="17"/>
  <c r="Y66" i="5"/>
  <c r="AR62" i="17"/>
  <c r="Y62" i="5"/>
  <c r="AR58" i="17"/>
  <c r="Y58" i="5"/>
  <c r="AR54" i="17"/>
  <c r="Y54" i="5"/>
  <c r="AR50" i="17"/>
  <c r="Y50" i="5"/>
  <c r="AR46" i="17"/>
  <c r="Y46" i="5"/>
  <c r="AR42" i="17"/>
  <c r="Y42" i="5"/>
  <c r="AR38" i="17"/>
  <c r="Y38" i="5"/>
  <c r="AR34" i="17"/>
  <c r="Y34" i="5"/>
  <c r="AR30" i="17"/>
  <c r="Y30" i="5"/>
  <c r="AR26" i="17"/>
  <c r="Y26" i="5"/>
  <c r="AR22" i="17"/>
  <c r="Y22" i="5"/>
  <c r="AR18" i="17"/>
  <c r="Y18" i="5"/>
  <c r="AR14" i="17"/>
  <c r="Y14" i="5"/>
  <c r="AR10" i="17"/>
  <c r="Y10" i="5"/>
  <c r="AO73" i="13"/>
  <c r="AA74" i="3" s="1"/>
  <c r="AA74" i="4"/>
  <c r="H13" i="1"/>
  <c r="G13"/>
  <c r="G75" i="6"/>
  <c r="H6"/>
  <c r="O77" i="5"/>
  <c r="P8"/>
  <c r="AO71" i="13"/>
  <c r="AA72" i="3" s="1"/>
  <c r="AA72" i="4"/>
  <c r="AO67" i="13"/>
  <c r="AA68" i="3" s="1"/>
  <c r="AA68" i="4"/>
  <c r="AO63" i="13"/>
  <c r="AA64" i="3" s="1"/>
  <c r="AA64" i="4"/>
  <c r="AO59" i="13"/>
  <c r="AA60" i="3" s="1"/>
  <c r="AA60" i="4"/>
  <c r="AO55" i="13"/>
  <c r="AA56" i="3" s="1"/>
  <c r="AA56" i="4"/>
  <c r="AO51" i="13"/>
  <c r="AA52" i="3" s="1"/>
  <c r="AA52" i="4"/>
  <c r="AO47" i="13"/>
  <c r="AA48" i="3" s="1"/>
  <c r="AA48" i="4"/>
  <c r="AO43" i="13"/>
  <c r="AA44" i="3" s="1"/>
  <c r="AA44" i="4"/>
  <c r="AO33" i="13"/>
  <c r="AA34" i="3" s="1"/>
  <c r="AA34" i="4"/>
  <c r="AO25" i="13"/>
  <c r="AA26" i="3" s="1"/>
  <c r="AA26" i="4"/>
  <c r="AO21" i="13"/>
  <c r="AA22" i="3" s="1"/>
  <c r="AA22" i="4"/>
  <c r="AO17" i="13"/>
  <c r="AA18" i="3" s="1"/>
  <c r="AA18" i="4"/>
  <c r="AO13" i="13"/>
  <c r="AA14" i="3" s="1"/>
  <c r="AA14" i="4"/>
  <c r="AO9" i="13"/>
  <c r="AA10" i="3" s="1"/>
  <c r="AA10" i="4"/>
  <c r="AQ73" i="12"/>
  <c r="Z74" i="3" s="1"/>
  <c r="Z74" i="4"/>
  <c r="AQ69" i="12"/>
  <c r="Z70" i="3" s="1"/>
  <c r="Z70" i="4"/>
  <c r="AQ65" i="12"/>
  <c r="Z66" i="3" s="1"/>
  <c r="Z66" i="4"/>
  <c r="AQ61" i="12"/>
  <c r="Z62" i="3" s="1"/>
  <c r="Z62" i="4"/>
  <c r="AQ57" i="12"/>
  <c r="Z58" i="3" s="1"/>
  <c r="Z58" i="4"/>
  <c r="AQ53" i="12"/>
  <c r="Z54" i="3" s="1"/>
  <c r="Z54" i="4"/>
  <c r="AQ49" i="12"/>
  <c r="Z50" i="3" s="1"/>
  <c r="Z50" i="4"/>
  <c r="AQ45" i="12"/>
  <c r="Z46" i="3" s="1"/>
  <c r="Z46" i="4"/>
  <c r="AQ41" i="12"/>
  <c r="Z42" i="3" s="1"/>
  <c r="Z42" i="4"/>
  <c r="AQ39" i="12"/>
  <c r="Z40" i="3" s="1"/>
  <c r="Z40" i="4"/>
  <c r="AQ35" i="12"/>
  <c r="Z36" i="3" s="1"/>
  <c r="Z36" i="4"/>
  <c r="AQ31" i="12"/>
  <c r="Z32" i="3" s="1"/>
  <c r="Z32" i="4"/>
  <c r="AQ27" i="12"/>
  <c r="Z28" i="3" s="1"/>
  <c r="Z28" i="4"/>
  <c r="AQ23" i="12"/>
  <c r="Z24" i="3" s="1"/>
  <c r="Z24" i="4"/>
  <c r="AQ19" i="12"/>
  <c r="Z20" i="3" s="1"/>
  <c r="Z20" i="4"/>
  <c r="AQ15" i="12"/>
  <c r="Z16" i="3" s="1"/>
  <c r="Z16" i="4"/>
  <c r="AQ11" i="12"/>
  <c r="Z12" i="3" s="1"/>
  <c r="Z12" i="4"/>
  <c r="AQ7" i="12"/>
  <c r="Z8" i="3" s="1"/>
  <c r="Z8" i="4"/>
  <c r="AL45" i="11"/>
  <c r="AN45" s="1"/>
  <c r="V53" i="3" s="1"/>
  <c r="V53" i="4"/>
  <c r="AL44" i="11"/>
  <c r="AN44" s="1"/>
  <c r="V50" i="3" s="1"/>
  <c r="V50" i="4"/>
  <c r="AL43" i="11"/>
  <c r="AN43" s="1"/>
  <c r="V49" i="3" s="1"/>
  <c r="V49" i="4"/>
  <c r="I104" i="23"/>
  <c r="I103" i="19"/>
  <c r="F9" i="11"/>
  <c r="I71" i="24"/>
  <c r="I71" i="20"/>
  <c r="G70" i="12"/>
  <c r="I69" i="24"/>
  <c r="I69" i="20"/>
  <c r="G68" i="12"/>
  <c r="I67" i="24"/>
  <c r="I67" i="20"/>
  <c r="G66" i="12"/>
  <c r="I65" i="24"/>
  <c r="I65" i="20"/>
  <c r="G64" i="12"/>
  <c r="I63" i="24"/>
  <c r="I63" i="20"/>
  <c r="G62" i="12"/>
  <c r="I61" i="24"/>
  <c r="I61" i="20"/>
  <c r="G60" i="12"/>
  <c r="I61" i="25"/>
  <c r="I61" i="21"/>
  <c r="G60" i="13"/>
  <c r="I59" i="25"/>
  <c r="I59" i="21"/>
  <c r="G58" i="13"/>
  <c r="I57" i="24"/>
  <c r="I57" i="20"/>
  <c r="G56" i="12"/>
  <c r="I55" i="24"/>
  <c r="I55" i="20"/>
  <c r="G54" i="12"/>
  <c r="I53" i="25"/>
  <c r="I53" i="21"/>
  <c r="G52" i="13"/>
  <c r="I51" i="25"/>
  <c r="I51" i="21"/>
  <c r="G50" i="13"/>
  <c r="I49" i="24"/>
  <c r="I49" i="20"/>
  <c r="G48" i="12"/>
  <c r="I47" i="24"/>
  <c r="I47" i="20"/>
  <c r="G46" i="12"/>
  <c r="I45" i="24"/>
  <c r="I45" i="20"/>
  <c r="G44" i="12"/>
  <c r="I42" i="24"/>
  <c r="I42" i="20"/>
  <c r="G41" i="12"/>
  <c r="I39" i="24"/>
  <c r="I39" i="20"/>
  <c r="G38" i="12"/>
  <c r="I37" i="24"/>
  <c r="I37" i="20"/>
  <c r="G36" i="12"/>
  <c r="I35" i="24"/>
  <c r="I35" i="20"/>
  <c r="G34" i="12"/>
  <c r="I33" i="24"/>
  <c r="I33" i="20"/>
  <c r="G32" i="12"/>
  <c r="I115" i="23"/>
  <c r="I114" i="19"/>
  <c r="F42" i="11"/>
  <c r="I31" i="24"/>
  <c r="I31" i="20"/>
  <c r="G30" i="12"/>
  <c r="I29" i="25"/>
  <c r="I29" i="21"/>
  <c r="G28" i="13"/>
  <c r="I27" i="25"/>
  <c r="I27" i="21"/>
  <c r="G26" i="13"/>
  <c r="I25" i="25"/>
  <c r="I25" i="21"/>
  <c r="G24" i="13"/>
  <c r="I23" i="25"/>
  <c r="I23" i="21"/>
  <c r="G22" i="13"/>
  <c r="I20" i="25"/>
  <c r="I20" i="21"/>
  <c r="G19" i="13"/>
  <c r="I18" i="25"/>
  <c r="I18" i="21"/>
  <c r="G17" i="13"/>
  <c r="I16" i="25"/>
  <c r="I16" i="21"/>
  <c r="G15" i="13"/>
  <c r="I14" i="25"/>
  <c r="I14" i="21"/>
  <c r="G13" i="13"/>
  <c r="I12" i="25"/>
  <c r="I12" i="21"/>
  <c r="G11" i="13"/>
  <c r="I10" i="25"/>
  <c r="I10" i="21"/>
  <c r="G9" i="13"/>
  <c r="I8" i="25"/>
  <c r="I8" i="21"/>
  <c r="G7" i="13"/>
  <c r="I6" i="25"/>
  <c r="I6" i="21"/>
  <c r="G5" i="13"/>
  <c r="F74" i="19"/>
  <c r="G74"/>
  <c r="F60"/>
  <c r="G60"/>
  <c r="F58"/>
  <c r="G58"/>
  <c r="F56"/>
  <c r="G56"/>
  <c r="F54"/>
  <c r="G54"/>
  <c r="F52"/>
  <c r="G52"/>
  <c r="F42"/>
  <c r="G42"/>
  <c r="F40"/>
  <c r="G40"/>
  <c r="F38"/>
  <c r="G38"/>
  <c r="F36"/>
  <c r="G36"/>
  <c r="F34"/>
  <c r="G34"/>
  <c r="I110" i="23"/>
  <c r="I109" i="19"/>
  <c r="F26" i="11"/>
  <c r="M75" i="6"/>
  <c r="N6"/>
  <c r="N75" s="1"/>
  <c r="E42" i="1" s="1"/>
  <c r="G36" i="4"/>
  <c r="AC26" i="11"/>
  <c r="V28"/>
  <c r="V32" s="1"/>
  <c r="Y18" i="10"/>
  <c r="Y38" s="1"/>
  <c r="I105" i="23"/>
  <c r="I104" i="19"/>
  <c r="F10" i="11"/>
  <c r="I74" i="25"/>
  <c r="I74" i="21"/>
  <c r="G73" i="13"/>
  <c r="I72" i="24"/>
  <c r="I72" i="20"/>
  <c r="G71" i="12"/>
  <c r="I70" i="24"/>
  <c r="I70" i="20"/>
  <c r="G69" i="12"/>
  <c r="I68" i="24"/>
  <c r="I68" i="20"/>
  <c r="G67" i="12"/>
  <c r="I66" i="24"/>
  <c r="I66" i="20"/>
  <c r="G65" i="12"/>
  <c r="I64" i="24"/>
  <c r="I64" i="20"/>
  <c r="G63" i="12"/>
  <c r="I62" i="24"/>
  <c r="I62" i="20"/>
  <c r="G61" i="12"/>
  <c r="I60" i="24"/>
  <c r="I60" i="20"/>
  <c r="G59" i="12"/>
  <c r="I58" i="24"/>
  <c r="I58" i="20"/>
  <c r="G57" i="12"/>
  <c r="I56" i="24"/>
  <c r="I56" i="20"/>
  <c r="G55" i="12"/>
  <c r="I54" i="24"/>
  <c r="I54" i="20"/>
  <c r="G53" i="12"/>
  <c r="I52" i="24"/>
  <c r="I52" i="20"/>
  <c r="G51" i="12"/>
  <c r="I50" i="24"/>
  <c r="I50" i="20"/>
  <c r="G49" i="12"/>
  <c r="I48" i="25"/>
  <c r="I48" i="21"/>
  <c r="G47" i="13"/>
  <c r="I46" i="25"/>
  <c r="I46" i="21"/>
  <c r="G45" i="13"/>
  <c r="I43" i="25"/>
  <c r="I43" i="21"/>
  <c r="G42" i="13"/>
  <c r="I40" i="25"/>
  <c r="I40" i="21"/>
  <c r="G39" i="13"/>
  <c r="I38" i="25"/>
  <c r="I38" i="21"/>
  <c r="G37" i="13"/>
  <c r="I36" i="25"/>
  <c r="I36" i="21"/>
  <c r="G35" i="13"/>
  <c r="I34" i="25"/>
  <c r="I34" i="21"/>
  <c r="G33" i="13"/>
  <c r="I32" i="25"/>
  <c r="I32" i="21"/>
  <c r="G31" i="13"/>
  <c r="I30" i="25"/>
  <c r="I30" i="21"/>
  <c r="G29" i="13"/>
  <c r="I28" i="25"/>
  <c r="I28" i="21"/>
  <c r="G27" i="13"/>
  <c r="I26" i="25"/>
  <c r="I26" i="21"/>
  <c r="G25" i="13"/>
  <c r="I24" i="25"/>
  <c r="I24" i="21"/>
  <c r="G23" i="13"/>
  <c r="I21" i="25"/>
  <c r="I21" i="21"/>
  <c r="G20" i="13"/>
  <c r="I19" i="25"/>
  <c r="I19" i="21"/>
  <c r="G18" i="13"/>
  <c r="I17" i="25"/>
  <c r="I17" i="21"/>
  <c r="G16" i="13"/>
  <c r="I15" i="24"/>
  <c r="I15" i="20"/>
  <c r="G14" i="12"/>
  <c r="I13" i="24"/>
  <c r="I13" i="20"/>
  <c r="G12" i="12"/>
  <c r="I11" i="24"/>
  <c r="I11" i="20"/>
  <c r="G10" i="12"/>
  <c r="I9" i="24"/>
  <c r="I9" i="20"/>
  <c r="G8" i="12"/>
  <c r="I7" i="24"/>
  <c r="I7" i="20"/>
  <c r="G6" i="12"/>
  <c r="R33" i="5"/>
  <c r="L11" i="14"/>
  <c r="F95" i="19"/>
  <c r="F47" i="11"/>
  <c r="F51" s="1"/>
  <c r="AC72" i="13"/>
  <c r="AC70"/>
  <c r="AC68"/>
  <c r="AC66"/>
  <c r="AC64"/>
  <c r="AC62"/>
  <c r="AC60"/>
  <c r="AC58"/>
  <c r="AB7" i="11"/>
  <c r="AE13" i="10"/>
  <c r="AE11"/>
  <c r="AE23"/>
  <c r="AE15"/>
  <c r="AI15" s="1"/>
  <c r="AK15" s="1"/>
  <c r="AM15" s="1"/>
  <c r="AN15" s="1"/>
  <c r="AE14"/>
  <c r="C75" i="19"/>
  <c r="AB64" i="11"/>
  <c r="AD15" i="10"/>
  <c r="L77" i="5"/>
  <c r="AE69" i="13"/>
  <c r="AG69" s="1"/>
  <c r="AE65"/>
  <c r="AG65" s="1"/>
  <c r="AE61"/>
  <c r="AG61" s="1"/>
  <c r="AE71" i="12"/>
  <c r="AG71" s="1"/>
  <c r="AE67"/>
  <c r="AG67" s="1"/>
  <c r="AE63"/>
  <c r="AG63" s="1"/>
  <c r="AE59"/>
  <c r="AG59" s="1"/>
  <c r="AE55"/>
  <c r="AG55" s="1"/>
  <c r="AE51"/>
  <c r="AG51" s="1"/>
  <c r="AE47"/>
  <c r="AG47" s="1"/>
  <c r="AE43"/>
  <c r="AG43" s="1"/>
  <c r="AE37"/>
  <c r="AG37" s="1"/>
  <c r="AE33"/>
  <c r="AG33" s="1"/>
  <c r="AE29"/>
  <c r="AG29" s="1"/>
  <c r="AE25"/>
  <c r="AG25" s="1"/>
  <c r="AE21"/>
  <c r="AG21" s="1"/>
  <c r="AE17"/>
  <c r="AG17" s="1"/>
  <c r="AE13"/>
  <c r="AG13" s="1"/>
  <c r="AE9"/>
  <c r="AG9" s="1"/>
  <c r="E77" i="5"/>
  <c r="E20" i="1" s="1"/>
  <c r="N38" i="4" l="1"/>
  <c r="AD37" i="13"/>
  <c r="N30" i="4"/>
  <c r="AD29" i="13"/>
  <c r="F197" i="19"/>
  <c r="AD23" i="10"/>
  <c r="X42" i="5"/>
  <c r="U42"/>
  <c r="W42"/>
  <c r="X41"/>
  <c r="U41"/>
  <c r="W41"/>
  <c r="N8" i="4"/>
  <c r="AD7" i="13"/>
  <c r="N24" i="4"/>
  <c r="AD23" i="13"/>
  <c r="N40" i="4"/>
  <c r="AD39" i="13"/>
  <c r="N54" i="4"/>
  <c r="AD53" i="13"/>
  <c r="AC8" i="11"/>
  <c r="AD8" s="1"/>
  <c r="AF8" s="1"/>
  <c r="AH8" s="1"/>
  <c r="AI8" s="1"/>
  <c r="F72" i="3" s="1"/>
  <c r="F72" i="4"/>
  <c r="N20"/>
  <c r="AD19" i="13"/>
  <c r="N36" i="4"/>
  <c r="AD35" i="13"/>
  <c r="N50" i="4"/>
  <c r="AD49" i="13"/>
  <c r="AC22" i="12"/>
  <c r="N16" i="4"/>
  <c r="AD15" i="13"/>
  <c r="N32" i="4"/>
  <c r="AD31" i="13"/>
  <c r="N46" i="4"/>
  <c r="AD45" i="13"/>
  <c r="AL10" i="11"/>
  <c r="AN10" s="1"/>
  <c r="T74" i="3" s="1"/>
  <c r="T74" i="4"/>
  <c r="AD10" i="11"/>
  <c r="AF10" s="1"/>
  <c r="AH10" s="1"/>
  <c r="AI10" s="1"/>
  <c r="F74" i="3" s="1"/>
  <c r="N12" i="4"/>
  <c r="AD11" i="13"/>
  <c r="N28" i="4"/>
  <c r="AD27" i="13"/>
  <c r="N42" i="4"/>
  <c r="AD41" i="13"/>
  <c r="N58" i="4"/>
  <c r="AD57" i="13"/>
  <c r="AC9" i="11"/>
  <c r="F73" i="4"/>
  <c r="AD9" i="11"/>
  <c r="AF9" s="1"/>
  <c r="AH9" s="1"/>
  <c r="AI9" s="1"/>
  <c r="F73" i="3" s="1"/>
  <c r="F11" i="11"/>
  <c r="F15" s="1"/>
  <c r="AI6" i="12"/>
  <c r="AJ6" s="1"/>
  <c r="M7" i="3" s="1"/>
  <c r="AI38" i="12"/>
  <c r="AJ38" s="1"/>
  <c r="M39" i="3" s="1"/>
  <c r="AI52" i="12"/>
  <c r="AJ52" s="1"/>
  <c r="M53" i="3" s="1"/>
  <c r="AI68" i="12"/>
  <c r="AJ68" s="1"/>
  <c r="M69" i="3" s="1"/>
  <c r="AI16" i="13"/>
  <c r="AJ16" s="1"/>
  <c r="N17" i="3" s="1"/>
  <c r="AI32" i="13"/>
  <c r="AJ32" s="1"/>
  <c r="N33" i="3" s="1"/>
  <c r="AI50" i="13"/>
  <c r="AJ50" s="1"/>
  <c r="N51" i="3" s="1"/>
  <c r="X21" i="5"/>
  <c r="W21"/>
  <c r="P75" i="6"/>
  <c r="E40" i="1"/>
  <c r="W38" i="5"/>
  <c r="X38"/>
  <c r="AI14" i="12"/>
  <c r="AJ14" s="1"/>
  <c r="M15" i="3" s="1"/>
  <c r="AI30" i="12"/>
  <c r="AJ30" s="1"/>
  <c r="M31" i="3" s="1"/>
  <c r="AI44" i="12"/>
  <c r="AJ44" s="1"/>
  <c r="M45" i="3" s="1"/>
  <c r="AI60" i="12"/>
  <c r="AJ60" s="1"/>
  <c r="M61" i="3" s="1"/>
  <c r="AI8" i="13"/>
  <c r="AJ8" s="1"/>
  <c r="N9" i="3" s="1"/>
  <c r="AI24" i="13"/>
  <c r="AJ24" s="1"/>
  <c r="N25" i="3" s="1"/>
  <c r="AI42" i="13"/>
  <c r="AJ42" s="1"/>
  <c r="N43" i="3" s="1"/>
  <c r="G20" i="1"/>
  <c r="H20"/>
  <c r="AI13" i="12"/>
  <c r="AJ13" s="1"/>
  <c r="M14" i="3" s="1"/>
  <c r="AI21" i="12"/>
  <c r="AJ21" s="1"/>
  <c r="M22" i="3" s="1"/>
  <c r="AI29" i="12"/>
  <c r="AJ29" s="1"/>
  <c r="M30" i="3" s="1"/>
  <c r="AI37" i="12"/>
  <c r="AJ37" s="1"/>
  <c r="M38" i="3" s="1"/>
  <c r="AI47" i="12"/>
  <c r="AJ47" s="1"/>
  <c r="M48" i="3" s="1"/>
  <c r="AI55" i="12"/>
  <c r="AJ55" s="1"/>
  <c r="M56" i="3" s="1"/>
  <c r="AI63" i="12"/>
  <c r="AJ63" s="1"/>
  <c r="M64" i="3" s="1"/>
  <c r="AI71" i="12"/>
  <c r="AJ71" s="1"/>
  <c r="M72" i="3" s="1"/>
  <c r="AI65" i="13"/>
  <c r="AJ65" s="1"/>
  <c r="N66" i="3" s="1"/>
  <c r="AC64" i="11"/>
  <c r="I57" i="4"/>
  <c r="AG14" i="10"/>
  <c r="AF14"/>
  <c r="AG23"/>
  <c r="R44" i="4" s="1"/>
  <c r="AF23" i="10"/>
  <c r="D44" i="4"/>
  <c r="AF11" i="10"/>
  <c r="AG11"/>
  <c r="F37" i="4"/>
  <c r="AC7" i="11"/>
  <c r="AD60" i="13"/>
  <c r="N61" i="4"/>
  <c r="AD64" i="13"/>
  <c r="AE64" s="1"/>
  <c r="AG64" s="1"/>
  <c r="N65" i="4"/>
  <c r="AD68" i="13"/>
  <c r="N69" i="4"/>
  <c r="AD72" i="13"/>
  <c r="AE72" s="1"/>
  <c r="AG72" s="1"/>
  <c r="N73" i="4"/>
  <c r="AB33" i="5"/>
  <c r="AL26" i="11"/>
  <c r="AN26" s="1"/>
  <c r="U36" i="3" s="1"/>
  <c r="U36" i="4"/>
  <c r="P77" i="5"/>
  <c r="R8"/>
  <c r="H75" i="6"/>
  <c r="AA10" i="5"/>
  <c r="Z10"/>
  <c r="AC10" s="1"/>
  <c r="AA14"/>
  <c r="Z14"/>
  <c r="AC14" s="1"/>
  <c r="Z18"/>
  <c r="AA18"/>
  <c r="Z22"/>
  <c r="AA22"/>
  <c r="AA26"/>
  <c r="Z26"/>
  <c r="AC26" s="1"/>
  <c r="AA30"/>
  <c r="Z30"/>
  <c r="AC30" s="1"/>
  <c r="AA34"/>
  <c r="Z34"/>
  <c r="AC34" s="1"/>
  <c r="AA38"/>
  <c r="Z38"/>
  <c r="AA42"/>
  <c r="Z42"/>
  <c r="AC42" s="1"/>
  <c r="Z46"/>
  <c r="AA46"/>
  <c r="Z50"/>
  <c r="AA50"/>
  <c r="AA54"/>
  <c r="Z54"/>
  <c r="AC54" s="1"/>
  <c r="AA58"/>
  <c r="Z58"/>
  <c r="AC58" s="1"/>
  <c r="AA62"/>
  <c r="Z62"/>
  <c r="AC62" s="1"/>
  <c r="Z66"/>
  <c r="AA66"/>
  <c r="Z70"/>
  <c r="AA70"/>
  <c r="AA74"/>
  <c r="Z74"/>
  <c r="AA11"/>
  <c r="Z11"/>
  <c r="AC11" s="1"/>
  <c r="AA15"/>
  <c r="Z15"/>
  <c r="AC15" s="1"/>
  <c r="Z19"/>
  <c r="AA19"/>
  <c r="Z23"/>
  <c r="AA23"/>
  <c r="AA27"/>
  <c r="Z27"/>
  <c r="AC27" s="1"/>
  <c r="AA31"/>
  <c r="Z31"/>
  <c r="AC31" s="1"/>
  <c r="AA35"/>
  <c r="Z35"/>
  <c r="AC35" s="1"/>
  <c r="AA39"/>
  <c r="Z39"/>
  <c r="AC39" s="1"/>
  <c r="Z47"/>
  <c r="AA47"/>
  <c r="Z51"/>
  <c r="AA51"/>
  <c r="AA55"/>
  <c r="Z55"/>
  <c r="AC55" s="1"/>
  <c r="AA59"/>
  <c r="Z59"/>
  <c r="AC59" s="1"/>
  <c r="Z63"/>
  <c r="AA63"/>
  <c r="Z67"/>
  <c r="AA67"/>
  <c r="Z71"/>
  <c r="AA71"/>
  <c r="AA75"/>
  <c r="Z75"/>
  <c r="V96" i="11"/>
  <c r="V94"/>
  <c r="AQ8" i="12"/>
  <c r="Z9" i="3" s="1"/>
  <c r="Z9" i="4"/>
  <c r="AI12" i="12"/>
  <c r="AJ12" s="1"/>
  <c r="M13" i="3" s="1"/>
  <c r="AQ16" i="12"/>
  <c r="Z17" i="3" s="1"/>
  <c r="Z17" i="4"/>
  <c r="AI20" i="12"/>
  <c r="AJ20" s="1"/>
  <c r="M21" i="3" s="1"/>
  <c r="AQ24" i="12"/>
  <c r="Z25" i="3" s="1"/>
  <c r="Z25" i="4"/>
  <c r="AI28" i="12"/>
  <c r="AJ28" s="1"/>
  <c r="M29" i="3" s="1"/>
  <c r="AQ32" i="12"/>
  <c r="Z33" i="3" s="1"/>
  <c r="Z33" i="4"/>
  <c r="AI36" i="12"/>
  <c r="AJ36" s="1"/>
  <c r="M37" i="3" s="1"/>
  <c r="AQ42" i="12"/>
  <c r="Z43" i="3" s="1"/>
  <c r="Z43" i="4"/>
  <c r="AI46" i="12"/>
  <c r="AJ46" s="1"/>
  <c r="M47" i="3" s="1"/>
  <c r="AQ50" i="12"/>
  <c r="Z51" i="3" s="1"/>
  <c r="Z51" i="4"/>
  <c r="AI54" i="12"/>
  <c r="AJ54" s="1"/>
  <c r="M55" i="3" s="1"/>
  <c r="AQ58" i="12"/>
  <c r="Z59" i="3" s="1"/>
  <c r="Z59" i="4"/>
  <c r="AI62" i="12"/>
  <c r="AJ62" s="1"/>
  <c r="M63" i="3" s="1"/>
  <c r="AQ66" i="12"/>
  <c r="Z67" i="3" s="1"/>
  <c r="Z67" i="4"/>
  <c r="AI70" i="12"/>
  <c r="AJ70" s="1"/>
  <c r="M71" i="3" s="1"/>
  <c r="AO6" i="13"/>
  <c r="AA7" i="3" s="1"/>
  <c r="AA7" i="4"/>
  <c r="AI10" i="13"/>
  <c r="AJ10" s="1"/>
  <c r="N11" i="3" s="1"/>
  <c r="AO14" i="13"/>
  <c r="AA15" i="3" s="1"/>
  <c r="AA15" i="4"/>
  <c r="AI18" i="13"/>
  <c r="AJ18" s="1"/>
  <c r="N19" i="3" s="1"/>
  <c r="AO22" i="13"/>
  <c r="AA23" i="3" s="1"/>
  <c r="AA23" i="4"/>
  <c r="AI26" i="13"/>
  <c r="AJ26" s="1"/>
  <c r="N27" i="3" s="1"/>
  <c r="AO30" i="13"/>
  <c r="AA31" i="3" s="1"/>
  <c r="AA31" i="4"/>
  <c r="AI34" i="13"/>
  <c r="AJ34" s="1"/>
  <c r="N35" i="3" s="1"/>
  <c r="AO38" i="13"/>
  <c r="AA39" i="3" s="1"/>
  <c r="AA39" i="4"/>
  <c r="AI40" i="13"/>
  <c r="AJ40" s="1"/>
  <c r="N41" i="3" s="1"/>
  <c r="AO44" i="13"/>
  <c r="AA45" i="3" s="1"/>
  <c r="AA45" i="4"/>
  <c r="AI48" i="13"/>
  <c r="AJ48" s="1"/>
  <c r="N49" i="3" s="1"/>
  <c r="AO52" i="13"/>
  <c r="AA53" i="3" s="1"/>
  <c r="AA53" i="4"/>
  <c r="AI56" i="13"/>
  <c r="AJ56" s="1"/>
  <c r="N57" i="3" s="1"/>
  <c r="C94" i="18"/>
  <c r="E86"/>
  <c r="AR8" i="17"/>
  <c r="Y8" i="5"/>
  <c r="AD12" i="10"/>
  <c r="AE12"/>
  <c r="V49" i="11"/>
  <c r="V51"/>
  <c r="W10" i="5"/>
  <c r="X10"/>
  <c r="W12"/>
  <c r="X12"/>
  <c r="W14"/>
  <c r="X14"/>
  <c r="X18"/>
  <c r="W18"/>
  <c r="X44"/>
  <c r="W44"/>
  <c r="X46"/>
  <c r="W46"/>
  <c r="X48"/>
  <c r="W48"/>
  <c r="X50"/>
  <c r="W50"/>
  <c r="X52"/>
  <c r="W52"/>
  <c r="W54"/>
  <c r="X54"/>
  <c r="W56"/>
  <c r="X56"/>
  <c r="W58"/>
  <c r="X58"/>
  <c r="W60"/>
  <c r="X60"/>
  <c r="W62"/>
  <c r="X62"/>
  <c r="X64"/>
  <c r="W64"/>
  <c r="X66"/>
  <c r="W66"/>
  <c r="X68"/>
  <c r="W68"/>
  <c r="X70"/>
  <c r="W70"/>
  <c r="X72"/>
  <c r="W72"/>
  <c r="W74"/>
  <c r="X74"/>
  <c r="W76"/>
  <c r="X76"/>
  <c r="AL25" i="11"/>
  <c r="AN25" s="1"/>
  <c r="U42" i="3" s="1"/>
  <c r="U42" i="4"/>
  <c r="U76" i="5"/>
  <c r="AB76"/>
  <c r="AL42" i="11"/>
  <c r="AN42" s="1"/>
  <c r="V31" i="3" s="1"/>
  <c r="V31" i="4"/>
  <c r="AN78" i="11"/>
  <c r="AP78" s="1"/>
  <c r="X31" i="3" s="1"/>
  <c r="X31" i="4"/>
  <c r="AQ10" i="12"/>
  <c r="Z11" i="3" s="1"/>
  <c r="Z11" i="4"/>
  <c r="AQ18" i="12"/>
  <c r="Z19" i="3" s="1"/>
  <c r="Z19" i="4"/>
  <c r="AQ26" i="12"/>
  <c r="Z27" i="3" s="1"/>
  <c r="Z27" i="4"/>
  <c r="AQ34" i="12"/>
  <c r="Z35" i="3" s="1"/>
  <c r="Z35" i="4"/>
  <c r="AQ40" i="12"/>
  <c r="Z41" i="3" s="1"/>
  <c r="Z41" i="4"/>
  <c r="AQ48" i="12"/>
  <c r="Z49" i="3" s="1"/>
  <c r="Z49" i="4"/>
  <c r="AQ56" i="12"/>
  <c r="Z57" i="3" s="1"/>
  <c r="Z57" i="4"/>
  <c r="AQ64" i="12"/>
  <c r="Z65" i="3" s="1"/>
  <c r="Z65" i="4"/>
  <c r="AQ72" i="12"/>
  <c r="Z73" i="3" s="1"/>
  <c r="Z73" i="4"/>
  <c r="AO12" i="13"/>
  <c r="AA13" i="3" s="1"/>
  <c r="AA13" i="4"/>
  <c r="AO20" i="13"/>
  <c r="AA21" i="3" s="1"/>
  <c r="AA21" i="4"/>
  <c r="AO28" i="13"/>
  <c r="AA29" i="3" s="1"/>
  <c r="AA29" i="4"/>
  <c r="AO36" i="13"/>
  <c r="AA37" i="3" s="1"/>
  <c r="AA37" i="4"/>
  <c r="AO46" i="13"/>
  <c r="AA47" i="3" s="1"/>
  <c r="AA47" i="4"/>
  <c r="AO54" i="13"/>
  <c r="AA55" i="3" s="1"/>
  <c r="AA55" i="4"/>
  <c r="H29" i="1"/>
  <c r="G29"/>
  <c r="K15" i="14"/>
  <c r="L15"/>
  <c r="X22" i="5"/>
  <c r="W22"/>
  <c r="U24"/>
  <c r="AB24"/>
  <c r="G24" i="1"/>
  <c r="H24"/>
  <c r="AD17" i="10"/>
  <c r="AE17"/>
  <c r="Y79" i="11"/>
  <c r="Z77"/>
  <c r="X6"/>
  <c r="W11"/>
  <c r="Y28"/>
  <c r="Z24"/>
  <c r="Z28" s="1"/>
  <c r="Y92"/>
  <c r="Z91"/>
  <c r="Z92" s="1"/>
  <c r="U53" i="5"/>
  <c r="AB53"/>
  <c r="U74"/>
  <c r="AB74"/>
  <c r="K13" i="14"/>
  <c r="L13"/>
  <c r="F90" i="18"/>
  <c r="G90"/>
  <c r="F92"/>
  <c r="G92"/>
  <c r="K17" i="14"/>
  <c r="L17"/>
  <c r="G14" i="1"/>
  <c r="H14"/>
  <c r="AM77" i="17"/>
  <c r="E30" i="1" s="1"/>
  <c r="G9" i="16"/>
  <c r="AL77" i="17"/>
  <c r="AN77"/>
  <c r="AO77"/>
  <c r="AF77"/>
  <c r="AQ76"/>
  <c r="AD76"/>
  <c r="C77" i="16"/>
  <c r="W47" i="11"/>
  <c r="X41"/>
  <c r="X74" i="12"/>
  <c r="Y5"/>
  <c r="AA79" i="11"/>
  <c r="AB77"/>
  <c r="AB79" s="1"/>
  <c r="Z74" i="13"/>
  <c r="AA5"/>
  <c r="AA74" s="1"/>
  <c r="AD26" i="11"/>
  <c r="AF26" s="1"/>
  <c r="AH26" s="1"/>
  <c r="AI26" s="1"/>
  <c r="G36" i="3" s="1"/>
  <c r="C78" i="16"/>
  <c r="G189" i="19"/>
  <c r="F99"/>
  <c r="T33" i="5"/>
  <c r="E211" i="23"/>
  <c r="J18" i="14"/>
  <c r="E86" i="1" s="1"/>
  <c r="L95" i="23"/>
  <c r="M95"/>
  <c r="AI9" i="12"/>
  <c r="AJ9" s="1"/>
  <c r="M10" i="3" s="1"/>
  <c r="AI17" i="12"/>
  <c r="AJ17" s="1"/>
  <c r="M18" i="3" s="1"/>
  <c r="AI25" i="12"/>
  <c r="AJ25" s="1"/>
  <c r="M26" i="3" s="1"/>
  <c r="AI33" i="12"/>
  <c r="AJ33" s="1"/>
  <c r="M34" i="3" s="1"/>
  <c r="AI43" i="12"/>
  <c r="AJ43" s="1"/>
  <c r="M44" i="3" s="1"/>
  <c r="AI51" i="12"/>
  <c r="AJ51" s="1"/>
  <c r="M52" i="3" s="1"/>
  <c r="AI59" i="12"/>
  <c r="AJ59" s="1"/>
  <c r="M60" i="3" s="1"/>
  <c r="AI67" i="12"/>
  <c r="AJ67" s="1"/>
  <c r="M68" i="3" s="1"/>
  <c r="AI61" i="13"/>
  <c r="AJ61" s="1"/>
  <c r="N62" i="3" s="1"/>
  <c r="AI69" i="13"/>
  <c r="AJ69" s="1"/>
  <c r="N70" i="3" s="1"/>
  <c r="C211" i="19"/>
  <c r="C207"/>
  <c r="AF13" i="10"/>
  <c r="AG13"/>
  <c r="AD58" i="13"/>
  <c r="AE58" s="1"/>
  <c r="AG58" s="1"/>
  <c r="N59" i="4"/>
  <c r="AD62" i="13"/>
  <c r="N63" i="4"/>
  <c r="AD66" i="13"/>
  <c r="AE66" s="1"/>
  <c r="AG66" s="1"/>
  <c r="N67" i="4"/>
  <c r="AD70" i="13"/>
  <c r="N71" i="4"/>
  <c r="M11" i="14"/>
  <c r="N11" s="1"/>
  <c r="P11" s="1"/>
  <c r="R11" s="1"/>
  <c r="G42" i="1"/>
  <c r="H42"/>
  <c r="AL46" i="11"/>
  <c r="AN46" s="1"/>
  <c r="V57" i="3" s="1"/>
  <c r="V57" i="4"/>
  <c r="X83" i="11"/>
  <c r="X81"/>
  <c r="AQ12" i="12"/>
  <c r="Z13" i="3" s="1"/>
  <c r="Z13" i="4"/>
  <c r="AQ20" i="12"/>
  <c r="Z21" i="3" s="1"/>
  <c r="Z21" i="4"/>
  <c r="AQ28" i="12"/>
  <c r="Z29" i="3" s="1"/>
  <c r="Z29" i="4"/>
  <c r="AQ36" i="12"/>
  <c r="Z37" i="3" s="1"/>
  <c r="Z37" i="4"/>
  <c r="AQ46" i="12"/>
  <c r="Z47" i="3" s="1"/>
  <c r="Z47" i="4"/>
  <c r="AQ54" i="12"/>
  <c r="Z55" i="3" s="1"/>
  <c r="Z55" i="4"/>
  <c r="AQ62" i="12"/>
  <c r="Z63" i="3" s="1"/>
  <c r="Z63" i="4"/>
  <c r="AQ70" i="12"/>
  <c r="Z71" i="3" s="1"/>
  <c r="Z71" i="4"/>
  <c r="AO10" i="13"/>
  <c r="AA11" i="3" s="1"/>
  <c r="AA11" i="4"/>
  <c r="AO18" i="13"/>
  <c r="AA19" i="3" s="1"/>
  <c r="AA19" i="4"/>
  <c r="AO26" i="13"/>
  <c r="AA27" i="3" s="1"/>
  <c r="AA27" i="4"/>
  <c r="AO34" i="13"/>
  <c r="AA35" i="3" s="1"/>
  <c r="AA35" i="4"/>
  <c r="AO40" i="13"/>
  <c r="AA41" i="3" s="1"/>
  <c r="AA41" i="4"/>
  <c r="AO48" i="13"/>
  <c r="AA49" i="3" s="1"/>
  <c r="AA49" i="4"/>
  <c r="AO56" i="13"/>
  <c r="AA57" i="3" s="1"/>
  <c r="AA57" i="4"/>
  <c r="I18" i="14"/>
  <c r="E79" i="1" s="1"/>
  <c r="G79" s="1"/>
  <c r="K10" i="14"/>
  <c r="G87" i="18"/>
  <c r="F87"/>
  <c r="F88"/>
  <c r="G88"/>
  <c r="AD77" i="17"/>
  <c r="E33" i="1"/>
  <c r="Z30" i="10"/>
  <c r="AA28"/>
  <c r="Z18"/>
  <c r="AA10"/>
  <c r="AC62" i="11"/>
  <c r="AD62" s="1"/>
  <c r="AF62" s="1"/>
  <c r="AH62" s="1"/>
  <c r="AI62" s="1"/>
  <c r="I43" i="3" s="1"/>
  <c r="I43" i="4"/>
  <c r="AC63" i="11"/>
  <c r="I50" i="4"/>
  <c r="W43" i="5"/>
  <c r="X43"/>
  <c r="W9"/>
  <c r="X9"/>
  <c r="W11"/>
  <c r="X11"/>
  <c r="W13"/>
  <c r="X13"/>
  <c r="W15"/>
  <c r="X15"/>
  <c r="X17"/>
  <c r="W17"/>
  <c r="X19"/>
  <c r="W19"/>
  <c r="X45"/>
  <c r="W45"/>
  <c r="X47"/>
  <c r="W47"/>
  <c r="X49"/>
  <c r="W49"/>
  <c r="X51"/>
  <c r="W51"/>
  <c r="W53"/>
  <c r="X53"/>
  <c r="W55"/>
  <c r="X55"/>
  <c r="W57"/>
  <c r="X57"/>
  <c r="W59"/>
  <c r="X59"/>
  <c r="W61"/>
  <c r="X61"/>
  <c r="X63"/>
  <c r="W63"/>
  <c r="X65"/>
  <c r="W65"/>
  <c r="X67"/>
  <c r="W67"/>
  <c r="X69"/>
  <c r="W69"/>
  <c r="X71"/>
  <c r="W71"/>
  <c r="X73"/>
  <c r="W73"/>
  <c r="W75"/>
  <c r="X75"/>
  <c r="U38"/>
  <c r="AB38"/>
  <c r="U75"/>
  <c r="AB75"/>
  <c r="I111" i="23"/>
  <c r="I110" i="19"/>
  <c r="F27" i="11"/>
  <c r="F28" s="1"/>
  <c r="F32" s="1"/>
  <c r="H19" i="1"/>
  <c r="G19"/>
  <c r="AA12" i="5"/>
  <c r="Z12"/>
  <c r="AC12" s="1"/>
  <c r="Z20"/>
  <c r="AA20"/>
  <c r="AA24"/>
  <c r="Z24"/>
  <c r="AC24" s="1"/>
  <c r="AA28"/>
  <c r="Z28"/>
  <c r="AC28" s="1"/>
  <c r="AA32"/>
  <c r="Z32"/>
  <c r="AC32" s="1"/>
  <c r="AA36"/>
  <c r="Z36"/>
  <c r="AC36" s="1"/>
  <c r="AA40"/>
  <c r="Z40"/>
  <c r="AC40" s="1"/>
  <c r="Z44"/>
  <c r="AA44"/>
  <c r="Z48"/>
  <c r="AA48"/>
  <c r="Z52"/>
  <c r="AA52"/>
  <c r="AA56"/>
  <c r="Z56"/>
  <c r="AC56" s="1"/>
  <c r="AA60"/>
  <c r="Z60"/>
  <c r="AC60" s="1"/>
  <c r="Z64"/>
  <c r="AA64"/>
  <c r="Z68"/>
  <c r="AA68"/>
  <c r="Z72"/>
  <c r="AA72"/>
  <c r="AA9"/>
  <c r="Z9"/>
  <c r="AC9" s="1"/>
  <c r="AA13"/>
  <c r="Z13"/>
  <c r="AC13" s="1"/>
  <c r="Z17"/>
  <c r="AA17"/>
  <c r="Z21"/>
  <c r="AA21"/>
  <c r="AA25"/>
  <c r="Z25"/>
  <c r="AC25" s="1"/>
  <c r="AA29"/>
  <c r="Z29"/>
  <c r="AC29" s="1"/>
  <c r="AA33"/>
  <c r="Z33"/>
  <c r="AC33" s="1"/>
  <c r="AA37"/>
  <c r="Z37"/>
  <c r="AC37" s="1"/>
  <c r="AA41"/>
  <c r="Z41"/>
  <c r="AC41" s="1"/>
  <c r="AA43"/>
  <c r="Z43"/>
  <c r="AC43" s="1"/>
  <c r="Z45"/>
  <c r="AA45"/>
  <c r="Z49"/>
  <c r="AA49"/>
  <c r="AA53"/>
  <c r="Z53"/>
  <c r="AC53" s="1"/>
  <c r="AA57"/>
  <c r="Z57"/>
  <c r="AC57" s="1"/>
  <c r="AA61"/>
  <c r="Z61"/>
  <c r="AC61" s="1"/>
  <c r="Z65"/>
  <c r="AA65"/>
  <c r="Z69"/>
  <c r="AA69"/>
  <c r="Z73"/>
  <c r="AA73"/>
  <c r="AL61" i="11"/>
  <c r="AN61" s="1"/>
  <c r="W31" i="3" s="1"/>
  <c r="W31" i="4"/>
  <c r="AQ6" i="12"/>
  <c r="Z7" i="3" s="1"/>
  <c r="Z7" i="4"/>
  <c r="AI10" i="12"/>
  <c r="AJ10" s="1"/>
  <c r="M11" i="3" s="1"/>
  <c r="AQ14" i="12"/>
  <c r="Z15" i="3" s="1"/>
  <c r="Z15" i="4"/>
  <c r="AI18" i="12"/>
  <c r="AJ18" s="1"/>
  <c r="M19" i="3" s="1"/>
  <c r="AI26" i="12"/>
  <c r="AJ26" s="1"/>
  <c r="M27" i="3" s="1"/>
  <c r="AQ30" i="12"/>
  <c r="Z31" i="3" s="1"/>
  <c r="Z31" i="4"/>
  <c r="AI34" i="12"/>
  <c r="AJ34" s="1"/>
  <c r="M35" i="3" s="1"/>
  <c r="AQ38" i="12"/>
  <c r="Z39" i="3" s="1"/>
  <c r="Z39" i="4"/>
  <c r="AI40" i="12"/>
  <c r="AJ40" s="1"/>
  <c r="M41" i="3" s="1"/>
  <c r="AQ44" i="12"/>
  <c r="Z45" i="3" s="1"/>
  <c r="Z45" i="4"/>
  <c r="AI48" i="12"/>
  <c r="AJ48" s="1"/>
  <c r="M49" i="3" s="1"/>
  <c r="AQ52" i="12"/>
  <c r="Z53" i="3" s="1"/>
  <c r="Z53" i="4"/>
  <c r="AI56" i="12"/>
  <c r="AJ56" s="1"/>
  <c r="M57" i="3" s="1"/>
  <c r="AQ60" i="12"/>
  <c r="Z61" i="3" s="1"/>
  <c r="Z61" i="4"/>
  <c r="AI64" i="12"/>
  <c r="AJ64" s="1"/>
  <c r="M65" i="3" s="1"/>
  <c r="AQ68" i="12"/>
  <c r="Z69" i="3" s="1"/>
  <c r="Z69" i="4"/>
  <c r="AI72" i="12"/>
  <c r="AJ72" s="1"/>
  <c r="M73" i="3" s="1"/>
  <c r="AO8" i="13"/>
  <c r="AA9" i="3" s="1"/>
  <c r="AA9" i="4"/>
  <c r="AI12" i="13"/>
  <c r="AJ12" s="1"/>
  <c r="N13" i="3" s="1"/>
  <c r="AO16" i="13"/>
  <c r="AA17" i="3" s="1"/>
  <c r="AA17" i="4"/>
  <c r="AI20" i="13"/>
  <c r="AJ20" s="1"/>
  <c r="N21" i="3" s="1"/>
  <c r="AO24" i="13"/>
  <c r="AA25" i="3" s="1"/>
  <c r="AA25" i="4"/>
  <c r="AI28" i="13"/>
  <c r="AJ28" s="1"/>
  <c r="N29" i="3" s="1"/>
  <c r="AO32" i="13"/>
  <c r="AA33" i="3" s="1"/>
  <c r="AA33" i="4"/>
  <c r="AI36" i="13"/>
  <c r="AJ36" s="1"/>
  <c r="N37" i="3" s="1"/>
  <c r="AO42" i="13"/>
  <c r="AA43" i="3" s="1"/>
  <c r="AA43" i="4"/>
  <c r="AI46" i="13"/>
  <c r="AJ46" s="1"/>
  <c r="N47" i="3" s="1"/>
  <c r="AO50" i="13"/>
  <c r="AA51" i="3" s="1"/>
  <c r="AA51" i="4"/>
  <c r="AI54" i="13"/>
  <c r="AJ54" s="1"/>
  <c r="N55" i="3" s="1"/>
  <c r="D78" i="16"/>
  <c r="E9"/>
  <c r="G91" i="18"/>
  <c r="F91"/>
  <c r="X20" i="5"/>
  <c r="W20"/>
  <c r="W24"/>
  <c r="X24"/>
  <c r="R16"/>
  <c r="AB18"/>
  <c r="U18"/>
  <c r="AB20"/>
  <c r="U20"/>
  <c r="AB22"/>
  <c r="U22"/>
  <c r="V25"/>
  <c r="V26"/>
  <c r="V27"/>
  <c r="V28"/>
  <c r="V29"/>
  <c r="V30"/>
  <c r="V31"/>
  <c r="V32"/>
  <c r="V34"/>
  <c r="V35"/>
  <c r="V36"/>
  <c r="V37"/>
  <c r="V39"/>
  <c r="V40"/>
  <c r="V41"/>
  <c r="V42"/>
  <c r="AB44"/>
  <c r="U44"/>
  <c r="AB46"/>
  <c r="U46"/>
  <c r="AB48"/>
  <c r="U48"/>
  <c r="AB50"/>
  <c r="U50"/>
  <c r="AB52"/>
  <c r="U52"/>
  <c r="AB64"/>
  <c r="U64"/>
  <c r="AB66"/>
  <c r="U66"/>
  <c r="AB68"/>
  <c r="U68"/>
  <c r="AB70"/>
  <c r="U70"/>
  <c r="AB72"/>
  <c r="U72"/>
  <c r="AD35" i="10"/>
  <c r="AE35"/>
  <c r="W28" i="11"/>
  <c r="X24"/>
  <c r="W65"/>
  <c r="X60"/>
  <c r="X74" i="13"/>
  <c r="Y5"/>
  <c r="Y65" i="11"/>
  <c r="Z60"/>
  <c r="Z65" s="1"/>
  <c r="Y11"/>
  <c r="Z6"/>
  <c r="Z11" s="1"/>
  <c r="Z74" i="12"/>
  <c r="AA5"/>
  <c r="AA74" s="1"/>
  <c r="X23" i="5"/>
  <c r="W23"/>
  <c r="AB17"/>
  <c r="U17"/>
  <c r="AB19"/>
  <c r="U19"/>
  <c r="AB21"/>
  <c r="U21"/>
  <c r="AB23"/>
  <c r="U23"/>
  <c r="AB45"/>
  <c r="U45"/>
  <c r="AB47"/>
  <c r="U47"/>
  <c r="AB49"/>
  <c r="U49"/>
  <c r="AB51"/>
  <c r="U51"/>
  <c r="AB63"/>
  <c r="U63"/>
  <c r="AB65"/>
  <c r="U65"/>
  <c r="AB67"/>
  <c r="U67"/>
  <c r="AB69"/>
  <c r="U69"/>
  <c r="AB71"/>
  <c r="U71"/>
  <c r="AB73"/>
  <c r="U73"/>
  <c r="G89" i="18"/>
  <c r="F89"/>
  <c r="K14" i="14"/>
  <c r="L14"/>
  <c r="K16"/>
  <c r="L16"/>
  <c r="G93" i="18"/>
  <c r="F93"/>
  <c r="L10" i="14"/>
  <c r="H18"/>
  <c r="H22" s="1"/>
  <c r="E64" i="1" s="1"/>
  <c r="G64" s="1"/>
  <c r="C214" i="19"/>
  <c r="E205"/>
  <c r="X91" i="11"/>
  <c r="W92"/>
  <c r="Y47"/>
  <c r="Z41"/>
  <c r="Z47" s="1"/>
  <c r="AB18" i="10"/>
  <c r="AC10"/>
  <c r="AC18" s="1"/>
  <c r="AC29"/>
  <c r="AB30"/>
  <c r="G74" i="13"/>
  <c r="G78" s="1"/>
  <c r="AE8" i="12"/>
  <c r="AG8" s="1"/>
  <c r="AE16"/>
  <c r="AG16" s="1"/>
  <c r="AE24"/>
  <c r="AG24" s="1"/>
  <c r="AE32"/>
  <c r="AG32" s="1"/>
  <c r="AE42"/>
  <c r="AG42" s="1"/>
  <c r="AE50"/>
  <c r="AG50" s="1"/>
  <c r="AE58"/>
  <c r="AG58" s="1"/>
  <c r="AE66"/>
  <c r="AG66" s="1"/>
  <c r="AE6" i="13"/>
  <c r="AG6" s="1"/>
  <c r="AE14"/>
  <c r="AG14" s="1"/>
  <c r="AE22"/>
  <c r="AG22" s="1"/>
  <c r="AE30"/>
  <c r="AG30" s="1"/>
  <c r="AE38"/>
  <c r="AG38" s="1"/>
  <c r="AE44"/>
  <c r="AG44" s="1"/>
  <c r="AE52"/>
  <c r="AG52" s="1"/>
  <c r="L95" i="19"/>
  <c r="M95"/>
  <c r="F189"/>
  <c r="G197"/>
  <c r="G74" i="12"/>
  <c r="G78" s="1"/>
  <c r="AD25" i="11"/>
  <c r="AF25" s="1"/>
  <c r="AH25" s="1"/>
  <c r="AI25" s="1"/>
  <c r="G42" i="3" s="1"/>
  <c r="E10" i="1"/>
  <c r="U9" i="5"/>
  <c r="U10"/>
  <c r="U11"/>
  <c r="U12"/>
  <c r="U13"/>
  <c r="U14"/>
  <c r="U15"/>
  <c r="U43"/>
  <c r="G99" i="19"/>
  <c r="G75"/>
  <c r="F75"/>
  <c r="AD29" i="10"/>
  <c r="L12" i="14"/>
  <c r="U54" i="5"/>
  <c r="U55"/>
  <c r="U56"/>
  <c r="U57"/>
  <c r="U58"/>
  <c r="U59"/>
  <c r="U60"/>
  <c r="U61"/>
  <c r="U62"/>
  <c r="G137" i="19"/>
  <c r="F137"/>
  <c r="G211" i="23"/>
  <c r="F211"/>
  <c r="D94" i="18"/>
  <c r="AE29" i="13" l="1"/>
  <c r="AG29" s="1"/>
  <c r="AI29" s="1"/>
  <c r="AJ29" s="1"/>
  <c r="N30" i="3" s="1"/>
  <c r="AO29" i="13"/>
  <c r="AA30" i="3" s="1"/>
  <c r="AA30" i="4"/>
  <c r="AE37" i="13"/>
  <c r="AG37" s="1"/>
  <c r="AI37" s="1"/>
  <c r="AJ37" s="1"/>
  <c r="N38" i="3" s="1"/>
  <c r="AO37" i="13"/>
  <c r="AA38" i="3" s="1"/>
  <c r="AA38" i="4"/>
  <c r="AH14" i="10"/>
  <c r="AI14" s="1"/>
  <c r="AK14" s="1"/>
  <c r="AM14" s="1"/>
  <c r="AN14" s="1"/>
  <c r="AA58" i="4"/>
  <c r="AO57" i="13"/>
  <c r="AA58" i="3" s="1"/>
  <c r="AE57" i="13"/>
  <c r="AG57" s="1"/>
  <c r="AI57" s="1"/>
  <c r="AJ57" s="1"/>
  <c r="N58" i="3" s="1"/>
  <c r="AA42" i="4"/>
  <c r="AO41" i="13"/>
  <c r="AA42" i="3" s="1"/>
  <c r="AE41" i="13"/>
  <c r="AG41" s="1"/>
  <c r="AI41" s="1"/>
  <c r="AJ41" s="1"/>
  <c r="N42" i="3" s="1"/>
  <c r="AA28" i="4"/>
  <c r="AO27" i="13"/>
  <c r="AA28" i="3" s="1"/>
  <c r="AE27" i="13"/>
  <c r="AG27" s="1"/>
  <c r="AI27" s="1"/>
  <c r="AJ27" s="1"/>
  <c r="N28" i="3" s="1"/>
  <c r="AA12" i="4"/>
  <c r="AO11" i="13"/>
  <c r="AA12" i="3" s="1"/>
  <c r="AE11" i="13"/>
  <c r="AG11" s="1"/>
  <c r="AI11" s="1"/>
  <c r="AJ11" s="1"/>
  <c r="N12" i="3" s="1"/>
  <c r="AA50" i="4"/>
  <c r="AE49" i="13"/>
  <c r="AG49" s="1"/>
  <c r="AI49" s="1"/>
  <c r="AJ49" s="1"/>
  <c r="N50" i="3" s="1"/>
  <c r="AO49" i="13"/>
  <c r="AA50" i="3" s="1"/>
  <c r="AA36" i="4"/>
  <c r="AE35" i="13"/>
  <c r="AG35" s="1"/>
  <c r="AI35" s="1"/>
  <c r="AJ35" s="1"/>
  <c r="N36" i="3" s="1"/>
  <c r="AO35" i="13"/>
  <c r="AA36" i="3" s="1"/>
  <c r="AA20" i="4"/>
  <c r="AE19" i="13"/>
  <c r="AG19" s="1"/>
  <c r="AI19" s="1"/>
  <c r="AJ19" s="1"/>
  <c r="N20" i="3" s="1"/>
  <c r="AO19" i="13"/>
  <c r="AA20" i="3" s="1"/>
  <c r="AL8" i="11"/>
  <c r="AN8" s="1"/>
  <c r="T72" i="3" s="1"/>
  <c r="T72" i="4"/>
  <c r="AL9" i="11"/>
  <c r="AN9" s="1"/>
  <c r="T73" i="3" s="1"/>
  <c r="T73" i="4"/>
  <c r="AA46"/>
  <c r="AO45" i="13"/>
  <c r="AA46" i="3" s="1"/>
  <c r="AE45" i="13"/>
  <c r="AG45" s="1"/>
  <c r="AI45" s="1"/>
  <c r="AJ45" s="1"/>
  <c r="N46" i="3" s="1"/>
  <c r="AA32" i="4"/>
  <c r="AO31" i="13"/>
  <c r="AA32" i="3" s="1"/>
  <c r="AE31" i="13"/>
  <c r="AG31" s="1"/>
  <c r="AI31" s="1"/>
  <c r="AJ31" s="1"/>
  <c r="N32" i="3" s="1"/>
  <c r="AA16" i="4"/>
  <c r="AO15" i="13"/>
  <c r="AA16" i="3" s="1"/>
  <c r="AE15" i="13"/>
  <c r="AG15" s="1"/>
  <c r="AI15" s="1"/>
  <c r="AJ15" s="1"/>
  <c r="N16" i="3" s="1"/>
  <c r="AD22" i="12"/>
  <c r="M23" i="4"/>
  <c r="AA54"/>
  <c r="AO53" i="13"/>
  <c r="AA54" i="3" s="1"/>
  <c r="AE53" i="13"/>
  <c r="AG53" s="1"/>
  <c r="AI53" s="1"/>
  <c r="AJ53" s="1"/>
  <c r="N54" i="3" s="1"/>
  <c r="AA40" i="4"/>
  <c r="AO39" i="13"/>
  <c r="AA40" i="3" s="1"/>
  <c r="AE39" i="13"/>
  <c r="AG39" s="1"/>
  <c r="AI39" s="1"/>
  <c r="AJ39" s="1"/>
  <c r="N40" i="3" s="1"/>
  <c r="AA24" i="4"/>
  <c r="AO23" i="13"/>
  <c r="AA24" i="3" s="1"/>
  <c r="AE23" i="13"/>
  <c r="AG23" s="1"/>
  <c r="AI23" s="1"/>
  <c r="AJ23" s="1"/>
  <c r="N24" i="3" s="1"/>
  <c r="AA8" i="4"/>
  <c r="AO7" i="13"/>
  <c r="AA8" i="3" s="1"/>
  <c r="AE7" i="13"/>
  <c r="AG7" s="1"/>
  <c r="AI7" s="1"/>
  <c r="AJ7" s="1"/>
  <c r="N8" i="3" s="1"/>
  <c r="V12" i="5"/>
  <c r="H10" i="1"/>
  <c r="G10"/>
  <c r="AI52" i="13"/>
  <c r="AJ52" s="1"/>
  <c r="N53" i="3" s="1"/>
  <c r="AI38" i="13"/>
  <c r="AJ38" s="1"/>
  <c r="N39" i="3" s="1"/>
  <c r="AI22" i="13"/>
  <c r="AJ22" s="1"/>
  <c r="N23" i="3" s="1"/>
  <c r="AI6" i="13"/>
  <c r="AJ6" s="1"/>
  <c r="N7" i="3" s="1"/>
  <c r="AI58" i="12"/>
  <c r="AJ58" s="1"/>
  <c r="M59" i="3" s="1"/>
  <c r="AI42" i="12"/>
  <c r="AJ42" s="1"/>
  <c r="M43" i="3" s="1"/>
  <c r="AI24" i="12"/>
  <c r="AJ24" s="1"/>
  <c r="M25" i="3" s="1"/>
  <c r="AI8" i="12"/>
  <c r="AJ8" s="1"/>
  <c r="M9" i="3" s="1"/>
  <c r="F205" i="19"/>
  <c r="G205"/>
  <c r="M16" i="14"/>
  <c r="N16" s="1"/>
  <c r="P16" s="1"/>
  <c r="R16" s="1"/>
  <c r="M14"/>
  <c r="N14" s="1"/>
  <c r="P14" s="1"/>
  <c r="R14" s="1"/>
  <c r="V73" i="5"/>
  <c r="V71"/>
  <c r="V69"/>
  <c r="V67"/>
  <c r="V65"/>
  <c r="V63"/>
  <c r="V51"/>
  <c r="V49"/>
  <c r="V47"/>
  <c r="V45"/>
  <c r="V23"/>
  <c r="V21"/>
  <c r="V19"/>
  <c r="V17"/>
  <c r="Y74" i="13"/>
  <c r="AB5"/>
  <c r="AB74" s="1"/>
  <c r="AC5"/>
  <c r="AA60" i="11"/>
  <c r="AA65" s="1"/>
  <c r="X65"/>
  <c r="AB60"/>
  <c r="AA24"/>
  <c r="AA28" s="1"/>
  <c r="X28"/>
  <c r="AB24"/>
  <c r="AI35" i="10"/>
  <c r="AK35" s="1"/>
  <c r="AM35" s="1"/>
  <c r="AN35" s="1"/>
  <c r="D51" i="3" s="1"/>
  <c r="D51" i="4"/>
  <c r="V72" i="5"/>
  <c r="V70"/>
  <c r="V68"/>
  <c r="V66"/>
  <c r="V64"/>
  <c r="V52"/>
  <c r="V50"/>
  <c r="V48"/>
  <c r="V46"/>
  <c r="V44"/>
  <c r="V22"/>
  <c r="V20"/>
  <c r="V18"/>
  <c r="E78" i="16"/>
  <c r="AS57" i="5"/>
  <c r="AD57"/>
  <c r="AE57" s="1"/>
  <c r="AS43"/>
  <c r="AD43"/>
  <c r="AE43" s="1"/>
  <c r="AS37"/>
  <c r="AD37"/>
  <c r="AE37" s="1"/>
  <c r="AS29"/>
  <c r="AD29"/>
  <c r="AE29" s="1"/>
  <c r="AS13"/>
  <c r="AD13"/>
  <c r="AE13" s="1"/>
  <c r="AS56"/>
  <c r="AD56"/>
  <c r="AE56" s="1"/>
  <c r="AS40"/>
  <c r="AD40"/>
  <c r="AE40" s="1"/>
  <c r="AS32"/>
  <c r="AD32"/>
  <c r="AE32" s="1"/>
  <c r="AS24"/>
  <c r="AD24"/>
  <c r="AE24" s="1"/>
  <c r="V75"/>
  <c r="V38"/>
  <c r="AL63" i="11"/>
  <c r="AN63" s="1"/>
  <c r="W50" i="3" s="1"/>
  <c r="W50" i="4"/>
  <c r="W11" i="14"/>
  <c r="T11"/>
  <c r="U11" s="1"/>
  <c r="AO70" i="13"/>
  <c r="AA71" i="3" s="1"/>
  <c r="AA71" i="4"/>
  <c r="AI66" i="13"/>
  <c r="AJ66" s="1"/>
  <c r="N67" i="3" s="1"/>
  <c r="AO62" i="13"/>
  <c r="AA63" i="3" s="1"/>
  <c r="AA63" i="4"/>
  <c r="AI58" i="13"/>
  <c r="AJ58" s="1"/>
  <c r="N59" i="3" s="1"/>
  <c r="W33" i="5"/>
  <c r="X33"/>
  <c r="Y74" i="12"/>
  <c r="AB5"/>
  <c r="AB74" s="1"/>
  <c r="AC5"/>
  <c r="X47" i="11"/>
  <c r="AA41"/>
  <c r="AA47" s="1"/>
  <c r="AB41"/>
  <c r="AR76" i="17"/>
  <c r="Y76" i="5"/>
  <c r="G30" i="1"/>
  <c r="H30"/>
  <c r="V74" i="5"/>
  <c r="V53"/>
  <c r="X11" i="11"/>
  <c r="AA6"/>
  <c r="AA11" s="1"/>
  <c r="AB6"/>
  <c r="V24" i="5"/>
  <c r="V76"/>
  <c r="F86" i="18"/>
  <c r="F94" s="1"/>
  <c r="E94"/>
  <c r="G86"/>
  <c r="G94" s="1"/>
  <c r="AS59" i="5"/>
  <c r="AD59"/>
  <c r="AE59" s="1"/>
  <c r="AS39"/>
  <c r="AD39"/>
  <c r="AE39" s="1"/>
  <c r="AS31"/>
  <c r="AD31"/>
  <c r="AE31" s="1"/>
  <c r="AS15"/>
  <c r="AD15"/>
  <c r="AE15" s="1"/>
  <c r="AS58"/>
  <c r="AD58"/>
  <c r="AE58" s="1"/>
  <c r="AS42"/>
  <c r="AD42"/>
  <c r="AE42" s="1"/>
  <c r="AS34"/>
  <c r="AD34"/>
  <c r="AE34" s="1"/>
  <c r="AS26"/>
  <c r="AD26"/>
  <c r="AE26" s="1"/>
  <c r="AS10"/>
  <c r="AD10"/>
  <c r="AE10" s="1"/>
  <c r="E46" i="1"/>
  <c r="J4" i="6"/>
  <c r="AI72" i="13"/>
  <c r="AJ72" s="1"/>
  <c r="N73" i="3" s="1"/>
  <c r="AO68" i="13"/>
  <c r="AA69" i="3" s="1"/>
  <c r="AA69" i="4"/>
  <c r="AI64" i="13"/>
  <c r="AJ64" s="1"/>
  <c r="N65" i="3" s="1"/>
  <c r="AO60" i="13"/>
  <c r="AA61" i="3" s="1"/>
  <c r="AA61" i="4"/>
  <c r="AL7" i="11"/>
  <c r="AN7" s="1"/>
  <c r="T37" i="3" s="1"/>
  <c r="T37" i="4"/>
  <c r="AL64" i="11"/>
  <c r="AN64" s="1"/>
  <c r="W57" i="3" s="1"/>
  <c r="W57" i="4"/>
  <c r="E20" i="8"/>
  <c r="E19"/>
  <c r="G207" i="19"/>
  <c r="AC73" i="5"/>
  <c r="AC65"/>
  <c r="AC49"/>
  <c r="AC21"/>
  <c r="AC72"/>
  <c r="AC64"/>
  <c r="AC48"/>
  <c r="AC75"/>
  <c r="AC67"/>
  <c r="AC51"/>
  <c r="AC23"/>
  <c r="AC74"/>
  <c r="AC66"/>
  <c r="AC50"/>
  <c r="AC18"/>
  <c r="AD7" i="11"/>
  <c r="AF7" s="1"/>
  <c r="AH7" s="1"/>
  <c r="AI7" s="1"/>
  <c r="F37" i="3" s="1"/>
  <c r="V62" i="5"/>
  <c r="V60"/>
  <c r="V58"/>
  <c r="V56"/>
  <c r="V54"/>
  <c r="V43"/>
  <c r="V14"/>
  <c r="V10"/>
  <c r="V61"/>
  <c r="V59"/>
  <c r="V57"/>
  <c r="V55"/>
  <c r="M12" i="14"/>
  <c r="N12" s="1"/>
  <c r="P12" s="1"/>
  <c r="R12" s="1"/>
  <c r="V15" i="5"/>
  <c r="V13"/>
  <c r="V11"/>
  <c r="V9"/>
  <c r="AI44" i="13"/>
  <c r="AJ44" s="1"/>
  <c r="N45" i="3" s="1"/>
  <c r="AI30" i="13"/>
  <c r="AJ30" s="1"/>
  <c r="N31" i="3" s="1"/>
  <c r="AI14" i="13"/>
  <c r="AJ14" s="1"/>
  <c r="N15" i="3" s="1"/>
  <c r="AI66" i="12"/>
  <c r="AJ66" s="1"/>
  <c r="M67" i="3" s="1"/>
  <c r="AI50" i="12"/>
  <c r="AJ50" s="1"/>
  <c r="M51" i="3" s="1"/>
  <c r="AI32" i="12"/>
  <c r="AJ32" s="1"/>
  <c r="M33" i="3" s="1"/>
  <c r="AI16" i="12"/>
  <c r="AJ16" s="1"/>
  <c r="M17" i="3" s="1"/>
  <c r="AC30" i="10"/>
  <c r="AC38" s="1"/>
  <c r="AE29"/>
  <c r="X92" i="11"/>
  <c r="AA91"/>
  <c r="AA92" s="1"/>
  <c r="AB91"/>
  <c r="L18" i="14"/>
  <c r="M10"/>
  <c r="AB16" i="5"/>
  <c r="T16"/>
  <c r="U16" s="1"/>
  <c r="AS61"/>
  <c r="AD61"/>
  <c r="AE61" s="1"/>
  <c r="AS53"/>
  <c r="AD53"/>
  <c r="AE53" s="1"/>
  <c r="AS41"/>
  <c r="AD41"/>
  <c r="AE41" s="1"/>
  <c r="AS33"/>
  <c r="AD33"/>
  <c r="AE33" s="1"/>
  <c r="AS25"/>
  <c r="AD25"/>
  <c r="AE25" s="1"/>
  <c r="AS9"/>
  <c r="AD9"/>
  <c r="AE9" s="1"/>
  <c r="AS60"/>
  <c r="AD60"/>
  <c r="AE60" s="1"/>
  <c r="AS36"/>
  <c r="AD36"/>
  <c r="AE36" s="1"/>
  <c r="AS28"/>
  <c r="AD28"/>
  <c r="AE28" s="1"/>
  <c r="AS12"/>
  <c r="AD12"/>
  <c r="AE12" s="1"/>
  <c r="AL62" i="11"/>
  <c r="AN62" s="1"/>
  <c r="W43" i="3" s="1"/>
  <c r="W43" i="4"/>
  <c r="AD10" i="10"/>
  <c r="AD18" s="1"/>
  <c r="AA18"/>
  <c r="AE10"/>
  <c r="AA30"/>
  <c r="AD28"/>
  <c r="AD30" s="1"/>
  <c r="AE28"/>
  <c r="H33" i="1"/>
  <c r="G33"/>
  <c r="AO66" i="13"/>
  <c r="AA67" i="3" s="1"/>
  <c r="AA67" i="4"/>
  <c r="AO58" i="13"/>
  <c r="AA59" i="3" s="1"/>
  <c r="AA59" i="4"/>
  <c r="H9" i="16"/>
  <c r="H78" s="1"/>
  <c r="G78"/>
  <c r="M17" i="14"/>
  <c r="N17" s="1"/>
  <c r="P17" s="1"/>
  <c r="R17" s="1"/>
  <c r="M13"/>
  <c r="N13" s="1"/>
  <c r="P13" s="1"/>
  <c r="R13" s="1"/>
  <c r="Z79" i="11"/>
  <c r="AC77"/>
  <c r="AC79" s="1"/>
  <c r="AD77"/>
  <c r="AF17" i="10"/>
  <c r="AG17"/>
  <c r="M15" i="14"/>
  <c r="N15" s="1"/>
  <c r="P15" s="1"/>
  <c r="R15" s="1"/>
  <c r="AF12" i="10"/>
  <c r="AG12"/>
  <c r="Y77" i="5"/>
  <c r="AS55"/>
  <c r="AD55"/>
  <c r="AE55" s="1"/>
  <c r="AS35"/>
  <c r="AD35"/>
  <c r="AE35" s="1"/>
  <c r="AS27"/>
  <c r="AD27"/>
  <c r="AE27" s="1"/>
  <c r="AS11"/>
  <c r="AD11"/>
  <c r="AE11" s="1"/>
  <c r="AS62"/>
  <c r="AD62"/>
  <c r="AE62" s="1"/>
  <c r="AS54"/>
  <c r="AD54"/>
  <c r="AE54" s="1"/>
  <c r="AS30"/>
  <c r="AD30"/>
  <c r="AE30" s="1"/>
  <c r="AS14"/>
  <c r="AD14"/>
  <c r="AE14" s="1"/>
  <c r="R77"/>
  <c r="AB8"/>
  <c r="AB77" s="1"/>
  <c r="AO72" i="13"/>
  <c r="AA73" i="3" s="1"/>
  <c r="AA73" i="4"/>
  <c r="AO64" i="13"/>
  <c r="AA65" i="3" s="1"/>
  <c r="AA65" i="4"/>
  <c r="AH23" i="10"/>
  <c r="AI23" s="1"/>
  <c r="AK23" s="1"/>
  <c r="AM23" s="1"/>
  <c r="AN23" s="1"/>
  <c r="D44" i="3" s="1"/>
  <c r="Q44" i="4"/>
  <c r="G40" i="1"/>
  <c r="H40"/>
  <c r="F207" i="19"/>
  <c r="AC69" i="5"/>
  <c r="AC45"/>
  <c r="AC17"/>
  <c r="AC68"/>
  <c r="AC52"/>
  <c r="AC44"/>
  <c r="AC20"/>
  <c r="AD63" i="11"/>
  <c r="AF63" s="1"/>
  <c r="AH63" s="1"/>
  <c r="AI63" s="1"/>
  <c r="I50" i="3" s="1"/>
  <c r="K18" i="14"/>
  <c r="AE70" i="13"/>
  <c r="AG70" s="1"/>
  <c r="AE62"/>
  <c r="AG62" s="1"/>
  <c r="AH13" i="10"/>
  <c r="AI13" s="1"/>
  <c r="AK13" s="1"/>
  <c r="AM13" s="1"/>
  <c r="AN13" s="1"/>
  <c r="C215" i="19"/>
  <c r="E207"/>
  <c r="AQ77" i="17"/>
  <c r="AC71" i="5"/>
  <c r="AC63"/>
  <c r="AC47"/>
  <c r="AC19"/>
  <c r="AC70"/>
  <c r="AC46"/>
  <c r="AC38"/>
  <c r="AC22"/>
  <c r="U33"/>
  <c r="AE68" i="13"/>
  <c r="AG68" s="1"/>
  <c r="AE60"/>
  <c r="AG60" s="1"/>
  <c r="AH11" i="10"/>
  <c r="AI11" s="1"/>
  <c r="AK11" s="1"/>
  <c r="AM11" s="1"/>
  <c r="AN11" s="1"/>
  <c r="AD64" i="11"/>
  <c r="AF64" s="1"/>
  <c r="AH64" s="1"/>
  <c r="AI64" s="1"/>
  <c r="I57" i="3" s="1"/>
  <c r="AE22" i="12" l="1"/>
  <c r="AG22" s="1"/>
  <c r="AI22" s="1"/>
  <c r="AJ22" s="1"/>
  <c r="M23" i="3" s="1"/>
  <c r="AQ22" i="12"/>
  <c r="Z23" i="3" s="1"/>
  <c r="Z23" i="4"/>
  <c r="AH12" i="10"/>
  <c r="AI12" s="1"/>
  <c r="AK12" s="1"/>
  <c r="AM12" s="1"/>
  <c r="AN12" s="1"/>
  <c r="AG30" i="5"/>
  <c r="AF30"/>
  <c r="AF62"/>
  <c r="AG62"/>
  <c r="AG35"/>
  <c r="AF35"/>
  <c r="W17" i="14"/>
  <c r="T17"/>
  <c r="U17" s="1"/>
  <c r="W15"/>
  <c r="T15"/>
  <c r="U15" s="1"/>
  <c r="W13"/>
  <c r="T13"/>
  <c r="U13" s="1"/>
  <c r="AG12" i="5"/>
  <c r="AF12"/>
  <c r="AG28"/>
  <c r="AF28"/>
  <c r="AG36"/>
  <c r="AF36"/>
  <c r="AG60"/>
  <c r="AF60"/>
  <c r="AG9"/>
  <c r="AF9"/>
  <c r="AG25"/>
  <c r="AF25"/>
  <c r="AF33"/>
  <c r="AG41"/>
  <c r="AF41"/>
  <c r="AG53"/>
  <c r="AF53"/>
  <c r="AG61"/>
  <c r="AF61"/>
  <c r="AF14"/>
  <c r="AG14"/>
  <c r="AF54"/>
  <c r="AG54"/>
  <c r="AF11"/>
  <c r="AG11"/>
  <c r="AG27"/>
  <c r="AF27"/>
  <c r="AG55"/>
  <c r="AF55"/>
  <c r="T12" i="14"/>
  <c r="U12" s="1"/>
  <c r="W12"/>
  <c r="AF10" i="5"/>
  <c r="AG10"/>
  <c r="AG26"/>
  <c r="AF26"/>
  <c r="AG34"/>
  <c r="AF34"/>
  <c r="AG42"/>
  <c r="AF42"/>
  <c r="AF58"/>
  <c r="AG58"/>
  <c r="AF15"/>
  <c r="AG15"/>
  <c r="AG31"/>
  <c r="AF31"/>
  <c r="AG39"/>
  <c r="AF39"/>
  <c r="AF59"/>
  <c r="AG59"/>
  <c r="AF24"/>
  <c r="AG24"/>
  <c r="AG32"/>
  <c r="AF32"/>
  <c r="AG40"/>
  <c r="AF40"/>
  <c r="AF56"/>
  <c r="AG56"/>
  <c r="AF13"/>
  <c r="AG13"/>
  <c r="AG29"/>
  <c r="AF29"/>
  <c r="AG37"/>
  <c r="AF37"/>
  <c r="AF43"/>
  <c r="AG43"/>
  <c r="AF57"/>
  <c r="AG57"/>
  <c r="AI68" i="13"/>
  <c r="AJ68" s="1"/>
  <c r="N69" i="3" s="1"/>
  <c r="AS38" i="5"/>
  <c r="AD38"/>
  <c r="AE38" s="1"/>
  <c r="AD70"/>
  <c r="AS70"/>
  <c r="AE70"/>
  <c r="AD47"/>
  <c r="AS47"/>
  <c r="AE47"/>
  <c r="AD71"/>
  <c r="AS71"/>
  <c r="AE71"/>
  <c r="AI70" i="13"/>
  <c r="AJ70" s="1"/>
  <c r="N71" i="3" s="1"/>
  <c r="AD44" i="5"/>
  <c r="AS44"/>
  <c r="AE44"/>
  <c r="AD68"/>
  <c r="AS68"/>
  <c r="AE68"/>
  <c r="AD45"/>
  <c r="AS45"/>
  <c r="AE45"/>
  <c r="AD79" i="11"/>
  <c r="AE77"/>
  <c r="K41" i="4"/>
  <c r="K75" s="1"/>
  <c r="AG10" i="10"/>
  <c r="AG18" s="1"/>
  <c r="AE18"/>
  <c r="AF10"/>
  <c r="K11" i="15"/>
  <c r="N11" s="1"/>
  <c r="O11" s="1"/>
  <c r="AT12" i="5"/>
  <c r="K27" i="15"/>
  <c r="N27" s="1"/>
  <c r="O27" s="1"/>
  <c r="AT28" i="5"/>
  <c r="K35" i="15"/>
  <c r="N35" s="1"/>
  <c r="O35" s="1"/>
  <c r="AT36" i="5"/>
  <c r="K59" i="15"/>
  <c r="N59" s="1"/>
  <c r="O59" s="1"/>
  <c r="AT60" i="5"/>
  <c r="K8" i="15"/>
  <c r="N8" s="1"/>
  <c r="O8" s="1"/>
  <c r="AT9" i="5"/>
  <c r="K24" i="15"/>
  <c r="N24" s="1"/>
  <c r="O24" s="1"/>
  <c r="AT25" i="5"/>
  <c r="K32" i="15"/>
  <c r="N32" s="1"/>
  <c r="O32" s="1"/>
  <c r="AT33" i="5"/>
  <c r="K40" i="15"/>
  <c r="N40" s="1"/>
  <c r="O40" s="1"/>
  <c r="AT41" i="5"/>
  <c r="K52" i="15"/>
  <c r="N52" s="1"/>
  <c r="O52" s="1"/>
  <c r="AT53" i="5"/>
  <c r="K60" i="15"/>
  <c r="N60" s="1"/>
  <c r="O60" s="1"/>
  <c r="AT61" i="5"/>
  <c r="V16"/>
  <c r="AG29" i="10"/>
  <c r="AG30" s="1"/>
  <c r="R14" i="4" s="1"/>
  <c r="AF29" i="10"/>
  <c r="AD18" i="5"/>
  <c r="AS18"/>
  <c r="AE18"/>
  <c r="AD66"/>
  <c r="AS66"/>
  <c r="AE66"/>
  <c r="AD23"/>
  <c r="AS23"/>
  <c r="AE23"/>
  <c r="AD67"/>
  <c r="AS67"/>
  <c r="AE67"/>
  <c r="AD48"/>
  <c r="AS48"/>
  <c r="AE48"/>
  <c r="AD72"/>
  <c r="AS72"/>
  <c r="AE72"/>
  <c r="AD49"/>
  <c r="AS49"/>
  <c r="AE49"/>
  <c r="AD73"/>
  <c r="AS73"/>
  <c r="AE73"/>
  <c r="I81" i="23"/>
  <c r="I81" i="19"/>
  <c r="F19" i="8"/>
  <c r="J74" i="6"/>
  <c r="O74" s="1"/>
  <c r="J72"/>
  <c r="O72" s="1"/>
  <c r="J70"/>
  <c r="O70" s="1"/>
  <c r="J68"/>
  <c r="O68" s="1"/>
  <c r="J66"/>
  <c r="O66" s="1"/>
  <c r="J64"/>
  <c r="O64" s="1"/>
  <c r="J62"/>
  <c r="O62" s="1"/>
  <c r="J60"/>
  <c r="O60" s="1"/>
  <c r="J58"/>
  <c r="O58" s="1"/>
  <c r="J56"/>
  <c r="O56" s="1"/>
  <c r="J54"/>
  <c r="O54" s="1"/>
  <c r="J52"/>
  <c r="O52" s="1"/>
  <c r="J50"/>
  <c r="O50" s="1"/>
  <c r="J48"/>
  <c r="O48" s="1"/>
  <c r="J46"/>
  <c r="O46" s="1"/>
  <c r="J43"/>
  <c r="O43" s="1"/>
  <c r="J40"/>
  <c r="O40" s="1"/>
  <c r="J38"/>
  <c r="O38" s="1"/>
  <c r="J36"/>
  <c r="O36" s="1"/>
  <c r="J34"/>
  <c r="O34" s="1"/>
  <c r="J32"/>
  <c r="O32" s="1"/>
  <c r="J30"/>
  <c r="O30" s="1"/>
  <c r="J28"/>
  <c r="O28" s="1"/>
  <c r="J26"/>
  <c r="O26" s="1"/>
  <c r="J24"/>
  <c r="O24" s="1"/>
  <c r="J21"/>
  <c r="O21" s="1"/>
  <c r="J19"/>
  <c r="O19" s="1"/>
  <c r="J17"/>
  <c r="O17" s="1"/>
  <c r="J15"/>
  <c r="O15" s="1"/>
  <c r="J13"/>
  <c r="O13" s="1"/>
  <c r="J11"/>
  <c r="O11" s="1"/>
  <c r="J9"/>
  <c r="O9" s="1"/>
  <c r="J7"/>
  <c r="O7" s="1"/>
  <c r="J73"/>
  <c r="O73" s="1"/>
  <c r="J71"/>
  <c r="O71" s="1"/>
  <c r="J69"/>
  <c r="O69" s="1"/>
  <c r="J67"/>
  <c r="O67" s="1"/>
  <c r="J65"/>
  <c r="O65" s="1"/>
  <c r="J63"/>
  <c r="O63" s="1"/>
  <c r="J61"/>
  <c r="O61" s="1"/>
  <c r="J59"/>
  <c r="O59" s="1"/>
  <c r="J57"/>
  <c r="O57" s="1"/>
  <c r="J55"/>
  <c r="O55" s="1"/>
  <c r="J53"/>
  <c r="O53" s="1"/>
  <c r="J51"/>
  <c r="O51" s="1"/>
  <c r="J49"/>
  <c r="O49" s="1"/>
  <c r="J47"/>
  <c r="O47" s="1"/>
  <c r="J45"/>
  <c r="O45" s="1"/>
  <c r="J44"/>
  <c r="O44" s="1"/>
  <c r="J42"/>
  <c r="O42" s="1"/>
  <c r="J41"/>
  <c r="O41" s="1"/>
  <c r="J39"/>
  <c r="O39" s="1"/>
  <c r="J37"/>
  <c r="O37" s="1"/>
  <c r="J35"/>
  <c r="O35" s="1"/>
  <c r="J33"/>
  <c r="O33" s="1"/>
  <c r="J31"/>
  <c r="O31" s="1"/>
  <c r="J29"/>
  <c r="O29" s="1"/>
  <c r="J27"/>
  <c r="O27" s="1"/>
  <c r="J25"/>
  <c r="O25" s="1"/>
  <c r="J23"/>
  <c r="O23" s="1"/>
  <c r="J22"/>
  <c r="O22" s="1"/>
  <c r="J20"/>
  <c r="O20" s="1"/>
  <c r="J18"/>
  <c r="O18" s="1"/>
  <c r="J16"/>
  <c r="O16" s="1"/>
  <c r="J14"/>
  <c r="O14" s="1"/>
  <c r="J12"/>
  <c r="O12" s="1"/>
  <c r="J10"/>
  <c r="O10" s="1"/>
  <c r="J8"/>
  <c r="O8" s="1"/>
  <c r="J6"/>
  <c r="AA76" i="5"/>
  <c r="Z76"/>
  <c r="AC76" s="1"/>
  <c r="AB47" i="11"/>
  <c r="AC41"/>
  <c r="AD41" s="1"/>
  <c r="H41" i="4"/>
  <c r="H75" s="1"/>
  <c r="AC60" i="11"/>
  <c r="AB65"/>
  <c r="AD60"/>
  <c r="I41" i="4"/>
  <c r="I75" s="1"/>
  <c r="W14" i="14"/>
  <c r="T14"/>
  <c r="U14" s="1"/>
  <c r="W16"/>
  <c r="T16"/>
  <c r="U16" s="1"/>
  <c r="AD38" i="10"/>
  <c r="M18" i="14"/>
  <c r="N10"/>
  <c r="R81" i="5"/>
  <c r="AI60" i="13"/>
  <c r="AJ60" s="1"/>
  <c r="N61" i="3" s="1"/>
  <c r="AG33" i="5"/>
  <c r="V33"/>
  <c r="AD22"/>
  <c r="AS22"/>
  <c r="AE22"/>
  <c r="AD46"/>
  <c r="AS46"/>
  <c r="AE46"/>
  <c r="AD19"/>
  <c r="AS19"/>
  <c r="AE19"/>
  <c r="AD63"/>
  <c r="AS63"/>
  <c r="AE63"/>
  <c r="AR77" i="17"/>
  <c r="E28" i="1"/>
  <c r="AI62" i="13"/>
  <c r="AJ62" s="1"/>
  <c r="N63" i="3" s="1"/>
  <c r="AD20" i="5"/>
  <c r="AS20"/>
  <c r="AE20"/>
  <c r="AD52"/>
  <c r="AS52"/>
  <c r="AE52"/>
  <c r="AD17"/>
  <c r="AS17"/>
  <c r="AE17"/>
  <c r="AD69"/>
  <c r="AS69"/>
  <c r="AE69"/>
  <c r="E25" i="1"/>
  <c r="R79" i="5"/>
  <c r="U79" s="1"/>
  <c r="K13" i="15"/>
  <c r="N13" s="1"/>
  <c r="O13" s="1"/>
  <c r="AT14" i="5"/>
  <c r="K29" i="15"/>
  <c r="N29" s="1"/>
  <c r="O29" s="1"/>
  <c r="AT30" i="5"/>
  <c r="K53" i="15"/>
  <c r="N53" s="1"/>
  <c r="O53" s="1"/>
  <c r="AT54" i="5"/>
  <c r="K61" i="15"/>
  <c r="N61" s="1"/>
  <c r="O61" s="1"/>
  <c r="AT62" i="5"/>
  <c r="K10" i="15"/>
  <c r="N10" s="1"/>
  <c r="O10" s="1"/>
  <c r="AT11" i="5"/>
  <c r="K26" i="15"/>
  <c r="N26" s="1"/>
  <c r="O26" s="1"/>
  <c r="AT27" i="5"/>
  <c r="K34" i="15"/>
  <c r="N34" s="1"/>
  <c r="O34" s="1"/>
  <c r="AT35" i="5"/>
  <c r="K54" i="15"/>
  <c r="N54" s="1"/>
  <c r="O54" s="1"/>
  <c r="AT55" i="5"/>
  <c r="AI28" i="10"/>
  <c r="AE30"/>
  <c r="D14" i="4" s="1"/>
  <c r="X16" i="5"/>
  <c r="W16"/>
  <c r="Z16"/>
  <c r="AC16" s="1"/>
  <c r="AA16"/>
  <c r="AB92" i="11"/>
  <c r="AC91"/>
  <c r="AD91" s="1"/>
  <c r="L15" i="4"/>
  <c r="L75" s="1"/>
  <c r="AD50" i="5"/>
  <c r="AS50"/>
  <c r="AE50"/>
  <c r="AS74"/>
  <c r="AD74"/>
  <c r="AE74" s="1"/>
  <c r="AD51"/>
  <c r="AS51"/>
  <c r="AE51"/>
  <c r="AS75"/>
  <c r="AD75"/>
  <c r="AE75" s="1"/>
  <c r="AD64"/>
  <c r="AS64"/>
  <c r="AE64"/>
  <c r="AD21"/>
  <c r="AS21"/>
  <c r="AE21"/>
  <c r="AD65"/>
  <c r="AS65"/>
  <c r="AE65"/>
  <c r="I84" i="23"/>
  <c r="I84" i="19"/>
  <c r="F20" i="8"/>
  <c r="G46" i="1"/>
  <c r="H46"/>
  <c r="K9" i="15"/>
  <c r="N9" s="1"/>
  <c r="O9" s="1"/>
  <c r="AT10" i="5"/>
  <c r="K25" i="15"/>
  <c r="N25" s="1"/>
  <c r="O25" s="1"/>
  <c r="AT26" i="5"/>
  <c r="K33" i="15"/>
  <c r="N33" s="1"/>
  <c r="O33" s="1"/>
  <c r="AT34" i="5"/>
  <c r="K41" i="15"/>
  <c r="N41" s="1"/>
  <c r="O41" s="1"/>
  <c r="AT42" i="5"/>
  <c r="K57" i="15"/>
  <c r="N57" s="1"/>
  <c r="O57" s="1"/>
  <c r="AT58" i="5"/>
  <c r="K14" i="15"/>
  <c r="N14" s="1"/>
  <c r="O14" s="1"/>
  <c r="AT15" i="5"/>
  <c r="K30" i="15"/>
  <c r="N30" s="1"/>
  <c r="O30" s="1"/>
  <c r="AT31" i="5"/>
  <c r="K38" i="15"/>
  <c r="N38" s="1"/>
  <c r="O38" s="1"/>
  <c r="AT39" i="5"/>
  <c r="K58" i="15"/>
  <c r="N58" s="1"/>
  <c r="O58" s="1"/>
  <c r="AT59" i="5"/>
  <c r="AB11" i="11"/>
  <c r="AC6"/>
  <c r="AD6" s="1"/>
  <c r="F22" i="4"/>
  <c r="F75" s="1"/>
  <c r="AC74" i="12"/>
  <c r="AD5"/>
  <c r="M6" i="4"/>
  <c r="M75" s="1"/>
  <c r="K23" i="15"/>
  <c r="N23" s="1"/>
  <c r="O23" s="1"/>
  <c r="AT24" i="5"/>
  <c r="K31" i="15"/>
  <c r="N31" s="1"/>
  <c r="O31" s="1"/>
  <c r="AT32" i="5"/>
  <c r="K39" i="15"/>
  <c r="N39" s="1"/>
  <c r="O39" s="1"/>
  <c r="AT40" i="5"/>
  <c r="K55" i="15"/>
  <c r="N55" s="1"/>
  <c r="O55" s="1"/>
  <c r="AT56" i="5"/>
  <c r="K12" i="15"/>
  <c r="N12" s="1"/>
  <c r="O12" s="1"/>
  <c r="AT13" i="5"/>
  <c r="K28" i="15"/>
  <c r="N28" s="1"/>
  <c r="O28" s="1"/>
  <c r="AT29" i="5"/>
  <c r="K36" i="15"/>
  <c r="N36" s="1"/>
  <c r="O36" s="1"/>
  <c r="AT37" i="5"/>
  <c r="K42" i="15"/>
  <c r="N42" s="1"/>
  <c r="O42" s="1"/>
  <c r="AT43" i="5"/>
  <c r="K56" i="15"/>
  <c r="N56" s="1"/>
  <c r="O56" s="1"/>
  <c r="AT57" i="5"/>
  <c r="G61" i="4"/>
  <c r="G75" s="1"/>
  <c r="AB28" i="11"/>
  <c r="AC24"/>
  <c r="AC74" i="13"/>
  <c r="AD5"/>
  <c r="N6" i="4"/>
  <c r="N75" s="1"/>
  <c r="AH17" i="10"/>
  <c r="AI17" s="1"/>
  <c r="AK17" s="1"/>
  <c r="AM17" s="1"/>
  <c r="AN17" s="1"/>
  <c r="AA38"/>
  <c r="J9" i="16"/>
  <c r="AG75" i="5" l="1"/>
  <c r="AF75"/>
  <c r="AG74"/>
  <c r="AF74"/>
  <c r="AG38"/>
  <c r="AF38"/>
  <c r="AQ5" i="12"/>
  <c r="Z6" i="3" s="1"/>
  <c r="Z75" s="1"/>
  <c r="AD74" i="12"/>
  <c r="Z6" i="4"/>
  <c r="Z75" s="1"/>
  <c r="AD11" i="11"/>
  <c r="AF6"/>
  <c r="AG65" i="5"/>
  <c r="AG21"/>
  <c r="AG64"/>
  <c r="AG51"/>
  <c r="AG50"/>
  <c r="AD92" i="11"/>
  <c r="AF91"/>
  <c r="AG69" i="5"/>
  <c r="AG17"/>
  <c r="AG52"/>
  <c r="AG20"/>
  <c r="G28" i="1"/>
  <c r="H28"/>
  <c r="AG63" i="5"/>
  <c r="AG19"/>
  <c r="AG46"/>
  <c r="AG22"/>
  <c r="N18" i="14"/>
  <c r="P10"/>
  <c r="AF60" i="11"/>
  <c r="AD65"/>
  <c r="AC65"/>
  <c r="AL60"/>
  <c r="W41" i="4"/>
  <c r="W75" s="1"/>
  <c r="AD47" i="11"/>
  <c r="AF41"/>
  <c r="J75" i="6"/>
  <c r="E47" i="1" s="1"/>
  <c r="O6" i="6"/>
  <c r="R10"/>
  <c r="AM12" i="5" s="1"/>
  <c r="AN12" s="1"/>
  <c r="AI12"/>
  <c r="R14" i="6"/>
  <c r="AM16" i="5" s="1"/>
  <c r="AN16" s="1"/>
  <c r="AI16"/>
  <c r="R18" i="6"/>
  <c r="AM20" i="5" s="1"/>
  <c r="AN20" s="1"/>
  <c r="AI20"/>
  <c r="AI24"/>
  <c r="R22" i="6"/>
  <c r="AM24" i="5" s="1"/>
  <c r="AN24" s="1"/>
  <c r="R25" i="6"/>
  <c r="AM27" i="5" s="1"/>
  <c r="AN27" s="1"/>
  <c r="AI27"/>
  <c r="R29" i="6"/>
  <c r="AM31" i="5" s="1"/>
  <c r="AN31" s="1"/>
  <c r="AI31"/>
  <c r="R33" i="6"/>
  <c r="AM35" i="5" s="1"/>
  <c r="AN35" s="1"/>
  <c r="AI35"/>
  <c r="R37" i="6"/>
  <c r="AM39" i="5" s="1"/>
  <c r="AN39" s="1"/>
  <c r="AI39"/>
  <c r="AI43"/>
  <c r="R41" i="6"/>
  <c r="AM43" i="5" s="1"/>
  <c r="AN43" s="1"/>
  <c r="R44" i="6"/>
  <c r="AM46" i="5" s="1"/>
  <c r="AN46" s="1"/>
  <c r="AI46"/>
  <c r="R47" i="6"/>
  <c r="AM49" i="5" s="1"/>
  <c r="AN49" s="1"/>
  <c r="AI49"/>
  <c r="R51" i="6"/>
  <c r="AM53" i="5" s="1"/>
  <c r="AN53" s="1"/>
  <c r="AI53"/>
  <c r="R55" i="6"/>
  <c r="AM57" i="5" s="1"/>
  <c r="AN57" s="1"/>
  <c r="AI57"/>
  <c r="R59" i="6"/>
  <c r="AM61" i="5" s="1"/>
  <c r="AN61" s="1"/>
  <c r="AI61"/>
  <c r="R63" i="6"/>
  <c r="AM65" i="5" s="1"/>
  <c r="AN65" s="1"/>
  <c r="AI65"/>
  <c r="R67" i="6"/>
  <c r="AM69" i="5" s="1"/>
  <c r="AN69" s="1"/>
  <c r="AI69"/>
  <c r="R71" i="6"/>
  <c r="AM73" i="5" s="1"/>
  <c r="AN73" s="1"/>
  <c r="AI73"/>
  <c r="AI9"/>
  <c r="R7" i="6"/>
  <c r="AM9" i="5" s="1"/>
  <c r="AN9" s="1"/>
  <c r="AI13"/>
  <c r="R11" i="6"/>
  <c r="AM13" i="5" s="1"/>
  <c r="AN13" s="1"/>
  <c r="R15" i="6"/>
  <c r="AM17" i="5" s="1"/>
  <c r="AN17" s="1"/>
  <c r="AI17"/>
  <c r="R19" i="6"/>
  <c r="AM21" i="5" s="1"/>
  <c r="AN21" s="1"/>
  <c r="AI21"/>
  <c r="AI26"/>
  <c r="R24" i="6"/>
  <c r="AM26" i="5" s="1"/>
  <c r="AN26" s="1"/>
  <c r="AI30"/>
  <c r="R28" i="6"/>
  <c r="AM30" i="5" s="1"/>
  <c r="AN30" s="1"/>
  <c r="AI34"/>
  <c r="R32" i="6"/>
  <c r="AM34" i="5" s="1"/>
  <c r="AN34" s="1"/>
  <c r="AI38"/>
  <c r="R36" i="6"/>
  <c r="AM38" i="5" s="1"/>
  <c r="AN38" s="1"/>
  <c r="AI42"/>
  <c r="R40" i="6"/>
  <c r="AM42" i="5" s="1"/>
  <c r="AN42" s="1"/>
  <c r="R46" i="6"/>
  <c r="AM48" i="5" s="1"/>
  <c r="AN48" s="1"/>
  <c r="AI48"/>
  <c r="R50" i="6"/>
  <c r="AM52" i="5" s="1"/>
  <c r="AN52" s="1"/>
  <c r="AI52"/>
  <c r="AI56"/>
  <c r="R54" i="6"/>
  <c r="AM56" i="5" s="1"/>
  <c r="AN56" s="1"/>
  <c r="AI60"/>
  <c r="R58" i="6"/>
  <c r="AM60" i="5" s="1"/>
  <c r="AN60" s="1"/>
  <c r="R62" i="6"/>
  <c r="AM64" i="5" s="1"/>
  <c r="AN64" s="1"/>
  <c r="AI64"/>
  <c r="R66" i="6"/>
  <c r="AM68" i="5" s="1"/>
  <c r="AN68" s="1"/>
  <c r="AI68"/>
  <c r="R70" i="6"/>
  <c r="AM72" i="5" s="1"/>
  <c r="AN72" s="1"/>
  <c r="AI72"/>
  <c r="AI76"/>
  <c r="R74" i="6"/>
  <c r="AM76" i="5" s="1"/>
  <c r="AN76" s="1"/>
  <c r="AG73"/>
  <c r="AG49"/>
  <c r="AG72"/>
  <c r="AG48"/>
  <c r="AG67"/>
  <c r="AG23"/>
  <c r="AG66"/>
  <c r="AG18"/>
  <c r="AF30" i="10"/>
  <c r="Q14" i="4" s="1"/>
  <c r="AH29" i="10"/>
  <c r="AF18"/>
  <c r="AH10"/>
  <c r="AG38"/>
  <c r="R22" i="4"/>
  <c r="AG45" i="5"/>
  <c r="AG68"/>
  <c r="AG44"/>
  <c r="AG71"/>
  <c r="AG47"/>
  <c r="AG70"/>
  <c r="AO57"/>
  <c r="AH57"/>
  <c r="AH29"/>
  <c r="AO13"/>
  <c r="AH13"/>
  <c r="AH32"/>
  <c r="AO24"/>
  <c r="AH24"/>
  <c r="AO31"/>
  <c r="AH31"/>
  <c r="AH15"/>
  <c r="AO34"/>
  <c r="AH34"/>
  <c r="AO27"/>
  <c r="AH27"/>
  <c r="AH11"/>
  <c r="AH14"/>
  <c r="AO61"/>
  <c r="AH61"/>
  <c r="AH41"/>
  <c r="AH9"/>
  <c r="AH36"/>
  <c r="AO12"/>
  <c r="AH12"/>
  <c r="AD74" i="13"/>
  <c r="AO5"/>
  <c r="AA6" i="3" s="1"/>
  <c r="AA75" s="1"/>
  <c r="AA6" i="4"/>
  <c r="AA75" s="1"/>
  <c r="AC28" i="11"/>
  <c r="AL24"/>
  <c r="U61" i="4"/>
  <c r="U75" s="1"/>
  <c r="J78" i="16"/>
  <c r="S8" i="5"/>
  <c r="Q56" i="15"/>
  <c r="R56" s="1"/>
  <c r="O55" i="3" s="1"/>
  <c r="O55" i="4"/>
  <c r="Q42" i="15"/>
  <c r="R42" s="1"/>
  <c r="O41" i="3" s="1"/>
  <c r="O41" i="4"/>
  <c r="Q36" i="15"/>
  <c r="R36" s="1"/>
  <c r="O35" i="3" s="1"/>
  <c r="O35" i="4"/>
  <c r="Q28" i="15"/>
  <c r="R28" s="1"/>
  <c r="O27" i="3" s="1"/>
  <c r="O27" i="4"/>
  <c r="Q12" i="15"/>
  <c r="R12" s="1"/>
  <c r="O11" i="3" s="1"/>
  <c r="O11" i="4"/>
  <c r="Q55" i="15"/>
  <c r="R55" s="1"/>
  <c r="O54" i="3" s="1"/>
  <c r="O54" i="4"/>
  <c r="Q39" i="15"/>
  <c r="R39" s="1"/>
  <c r="O38" i="3" s="1"/>
  <c r="O38" i="4"/>
  <c r="Q31" i="15"/>
  <c r="R31" s="1"/>
  <c r="O30" i="3" s="1"/>
  <c r="O30" i="4"/>
  <c r="Q23" i="15"/>
  <c r="R23" s="1"/>
  <c r="O22" i="3" s="1"/>
  <c r="O22" i="4"/>
  <c r="AL6" i="11"/>
  <c r="AC11"/>
  <c r="AC13" s="1"/>
  <c r="AD13" s="1"/>
  <c r="AH13" s="1"/>
  <c r="T22" i="4"/>
  <c r="T75" s="1"/>
  <c r="Q58" i="15"/>
  <c r="R58" s="1"/>
  <c r="O57" i="3" s="1"/>
  <c r="O57" i="4"/>
  <c r="Q38" i="15"/>
  <c r="R38" s="1"/>
  <c r="O37" i="3" s="1"/>
  <c r="O37" i="4"/>
  <c r="Q30" i="15"/>
  <c r="R30" s="1"/>
  <c r="O29" i="3" s="1"/>
  <c r="O29" i="4"/>
  <c r="Q14" i="15"/>
  <c r="R14" s="1"/>
  <c r="O13" i="3" s="1"/>
  <c r="O13" i="4"/>
  <c r="Q57" i="15"/>
  <c r="R57" s="1"/>
  <c r="O56" i="3" s="1"/>
  <c r="O56" i="4"/>
  <c r="Q41" i="15"/>
  <c r="R41" s="1"/>
  <c r="O40" i="3" s="1"/>
  <c r="O40" i="4"/>
  <c r="Q33" i="15"/>
  <c r="R33" s="1"/>
  <c r="O32" i="3" s="1"/>
  <c r="O32" i="4"/>
  <c r="Q25" i="15"/>
  <c r="R25" s="1"/>
  <c r="O24" i="3" s="1"/>
  <c r="O24" i="4"/>
  <c r="Q9" i="15"/>
  <c r="R9" s="1"/>
  <c r="O8" i="3" s="1"/>
  <c r="O8" i="4"/>
  <c r="K64" i="15"/>
  <c r="N64" s="1"/>
  <c r="O64" s="1"/>
  <c r="AT65" i="5"/>
  <c r="K20" i="15"/>
  <c r="N20" s="1"/>
  <c r="O20" s="1"/>
  <c r="AT21" i="5"/>
  <c r="K63" i="15"/>
  <c r="N63" s="1"/>
  <c r="O63" s="1"/>
  <c r="AT64" i="5"/>
  <c r="K74" i="15"/>
  <c r="N74" s="1"/>
  <c r="O74" s="1"/>
  <c r="AT75" i="5"/>
  <c r="K50" i="15"/>
  <c r="N50" s="1"/>
  <c r="O50" s="1"/>
  <c r="AT51" i="5"/>
  <c r="K73" i="15"/>
  <c r="N73" s="1"/>
  <c r="O73" s="1"/>
  <c r="AT74" i="5"/>
  <c r="K49" i="15"/>
  <c r="N49" s="1"/>
  <c r="O49" s="1"/>
  <c r="AT50" i="5"/>
  <c r="AC92" i="11"/>
  <c r="AL91"/>
  <c r="Y15" i="4"/>
  <c r="Y75" s="1"/>
  <c r="AD16" i="5"/>
  <c r="AS16"/>
  <c r="AE16"/>
  <c r="AK28" i="10"/>
  <c r="Q54" i="15"/>
  <c r="R54" s="1"/>
  <c r="O53" i="3" s="1"/>
  <c r="O53" i="4"/>
  <c r="Q34" i="15"/>
  <c r="R34" s="1"/>
  <c r="O33" i="3" s="1"/>
  <c r="O33" i="4"/>
  <c r="Q26" i="15"/>
  <c r="R26" s="1"/>
  <c r="O25" i="3" s="1"/>
  <c r="O25" i="4"/>
  <c r="Q10" i="15"/>
  <c r="R10" s="1"/>
  <c r="O9" i="3" s="1"/>
  <c r="O9" i="4"/>
  <c r="Q61" i="15"/>
  <c r="R61" s="1"/>
  <c r="O60" i="3" s="1"/>
  <c r="O60" i="4"/>
  <c r="Q53" i="15"/>
  <c r="R53" s="1"/>
  <c r="O52" i="3" s="1"/>
  <c r="O52" i="4"/>
  <c r="Q29" i="15"/>
  <c r="R29" s="1"/>
  <c r="O28" i="3" s="1"/>
  <c r="O28" i="4"/>
  <c r="Q13" i="15"/>
  <c r="R13" s="1"/>
  <c r="O12" i="3" s="1"/>
  <c r="O12" i="4"/>
  <c r="H25" i="1"/>
  <c r="G25"/>
  <c r="K68" i="15"/>
  <c r="N68" s="1"/>
  <c r="O68" s="1"/>
  <c r="AT69" i="5"/>
  <c r="K16" i="15"/>
  <c r="N16" s="1"/>
  <c r="O16" s="1"/>
  <c r="AT17" i="5"/>
  <c r="K51" i="15"/>
  <c r="N51" s="1"/>
  <c r="O51" s="1"/>
  <c r="AT52" i="5"/>
  <c r="K19" i="15"/>
  <c r="N19" s="1"/>
  <c r="O19" s="1"/>
  <c r="AT20" i="5"/>
  <c r="K62" i="15"/>
  <c r="N62" s="1"/>
  <c r="O62" s="1"/>
  <c r="AT63" i="5"/>
  <c r="K18" i="15"/>
  <c r="N18" s="1"/>
  <c r="O18" s="1"/>
  <c r="AT19" i="5"/>
  <c r="K45" i="15"/>
  <c r="N45" s="1"/>
  <c r="O45" s="1"/>
  <c r="AT46" i="5"/>
  <c r="K21" i="15"/>
  <c r="N21" s="1"/>
  <c r="O21" s="1"/>
  <c r="AT22" i="5"/>
  <c r="AH33"/>
  <c r="M20" i="14"/>
  <c r="N20" s="1"/>
  <c r="P20" s="1"/>
  <c r="T20" s="1"/>
  <c r="AC47" i="11"/>
  <c r="AL41"/>
  <c r="V41" i="4"/>
  <c r="V75" s="1"/>
  <c r="AS76" i="5"/>
  <c r="AD76"/>
  <c r="AE76" s="1"/>
  <c r="R8" i="6"/>
  <c r="AM10" i="5" s="1"/>
  <c r="AN10" s="1"/>
  <c r="AI10"/>
  <c r="R12" i="6"/>
  <c r="AM14" i="5" s="1"/>
  <c r="AN14" s="1"/>
  <c r="AI14"/>
  <c r="R16" i="6"/>
  <c r="AM18" i="5" s="1"/>
  <c r="AN18" s="1"/>
  <c r="AI18"/>
  <c r="R20" i="6"/>
  <c r="AM22" i="5" s="1"/>
  <c r="AN22" s="1"/>
  <c r="AI22"/>
  <c r="R23" i="6"/>
  <c r="AM25" i="5" s="1"/>
  <c r="AN25" s="1"/>
  <c r="AI25"/>
  <c r="R27" i="6"/>
  <c r="AM29" i="5" s="1"/>
  <c r="AN29" s="1"/>
  <c r="AI29"/>
  <c r="R31" i="6"/>
  <c r="AM33" i="5" s="1"/>
  <c r="AN33" s="1"/>
  <c r="AI33"/>
  <c r="R35" i="6"/>
  <c r="AM37" i="5" s="1"/>
  <c r="AN37" s="1"/>
  <c r="AI37"/>
  <c r="R39" i="6"/>
  <c r="AM41" i="5" s="1"/>
  <c r="AN41" s="1"/>
  <c r="AI41"/>
  <c r="R42" i="6"/>
  <c r="AM44" i="5" s="1"/>
  <c r="AN44" s="1"/>
  <c r="AI44"/>
  <c r="R45" i="6"/>
  <c r="AM47" i="5" s="1"/>
  <c r="AN47" s="1"/>
  <c r="AI47"/>
  <c r="R49" i="6"/>
  <c r="AM51" i="5" s="1"/>
  <c r="AN51" s="1"/>
  <c r="AI51"/>
  <c r="R53" i="6"/>
  <c r="AM55" i="5" s="1"/>
  <c r="AN55" s="1"/>
  <c r="AI55"/>
  <c r="R57" i="6"/>
  <c r="AM59" i="5" s="1"/>
  <c r="AN59" s="1"/>
  <c r="AI59"/>
  <c r="R61" i="6"/>
  <c r="AM63" i="5" s="1"/>
  <c r="AN63" s="1"/>
  <c r="AI63"/>
  <c r="R65" i="6"/>
  <c r="AM67" i="5" s="1"/>
  <c r="AN67" s="1"/>
  <c r="AI67"/>
  <c r="R69" i="6"/>
  <c r="AM71" i="5" s="1"/>
  <c r="AN71" s="1"/>
  <c r="AI71"/>
  <c r="R73" i="6"/>
  <c r="AM75" i="5" s="1"/>
  <c r="AN75" s="1"/>
  <c r="AI75"/>
  <c r="AI11"/>
  <c r="R9" i="6"/>
  <c r="AM11" i="5" s="1"/>
  <c r="AN11" s="1"/>
  <c r="AI15"/>
  <c r="R13" i="6"/>
  <c r="AM15" i="5" s="1"/>
  <c r="AN15" s="1"/>
  <c r="R17" i="6"/>
  <c r="AM19" i="5" s="1"/>
  <c r="AN19" s="1"/>
  <c r="AI19"/>
  <c r="R21" i="6"/>
  <c r="AM23" i="5" s="1"/>
  <c r="AN23" s="1"/>
  <c r="AI23"/>
  <c r="AI28"/>
  <c r="R26" i="6"/>
  <c r="AM28" i="5" s="1"/>
  <c r="AN28" s="1"/>
  <c r="AI32"/>
  <c r="R30" i="6"/>
  <c r="AM32" i="5" s="1"/>
  <c r="AN32" s="1"/>
  <c r="AI36"/>
  <c r="R34" i="6"/>
  <c r="AM36" i="5" s="1"/>
  <c r="AN36" s="1"/>
  <c r="AI40"/>
  <c r="R38" i="6"/>
  <c r="AM40" i="5" s="1"/>
  <c r="AN40" s="1"/>
  <c r="R43" i="6"/>
  <c r="AM45" i="5" s="1"/>
  <c r="AN45" s="1"/>
  <c r="AI45"/>
  <c r="R48" i="6"/>
  <c r="AM50" i="5" s="1"/>
  <c r="AN50" s="1"/>
  <c r="AI50"/>
  <c r="AI54"/>
  <c r="R52" i="6"/>
  <c r="AM54" i="5" s="1"/>
  <c r="AN54" s="1"/>
  <c r="AI58"/>
  <c r="R56" i="6"/>
  <c r="AM58" i="5" s="1"/>
  <c r="AN58" s="1"/>
  <c r="AI62"/>
  <c r="R60" i="6"/>
  <c r="AM62" i="5" s="1"/>
  <c r="AN62" s="1"/>
  <c r="R64" i="6"/>
  <c r="AM66" i="5" s="1"/>
  <c r="AN66" s="1"/>
  <c r="AI66"/>
  <c r="R68" i="6"/>
  <c r="AM70" i="5" s="1"/>
  <c r="AN70" s="1"/>
  <c r="AI70"/>
  <c r="AI74"/>
  <c r="R72" i="6"/>
  <c r="AM74" i="5" s="1"/>
  <c r="AN74" s="1"/>
  <c r="K72" i="15"/>
  <c r="N72" s="1"/>
  <c r="O72" s="1"/>
  <c r="AT73" i="5"/>
  <c r="K48" i="15"/>
  <c r="N48" s="1"/>
  <c r="O48" s="1"/>
  <c r="AT49" i="5"/>
  <c r="K71" i="15"/>
  <c r="N71" s="1"/>
  <c r="O71" s="1"/>
  <c r="AT72" i="5"/>
  <c r="K47" i="15"/>
  <c r="N47" s="1"/>
  <c r="O47" s="1"/>
  <c r="AT48" i="5"/>
  <c r="K66" i="15"/>
  <c r="N66" s="1"/>
  <c r="O66" s="1"/>
  <c r="AT67" i="5"/>
  <c r="K22" i="15"/>
  <c r="N22" s="1"/>
  <c r="O22" s="1"/>
  <c r="AT23" i="5"/>
  <c r="K65" i="15"/>
  <c r="N65" s="1"/>
  <c r="O65" s="1"/>
  <c r="AT66" i="5"/>
  <c r="K17" i="15"/>
  <c r="N17" s="1"/>
  <c r="O17" s="1"/>
  <c r="AT18" i="5"/>
  <c r="Q60" i="15"/>
  <c r="R60" s="1"/>
  <c r="O59" i="3" s="1"/>
  <c r="O59" i="4"/>
  <c r="Q52" i="15"/>
  <c r="R52" s="1"/>
  <c r="O51" i="3" s="1"/>
  <c r="O51" i="4"/>
  <c r="Q40" i="15"/>
  <c r="R40" s="1"/>
  <c r="O39" i="3" s="1"/>
  <c r="O39" i="4"/>
  <c r="Q32" i="15"/>
  <c r="R32" s="1"/>
  <c r="O31" i="3" s="1"/>
  <c r="O31" i="4"/>
  <c r="Q24" i="15"/>
  <c r="R24" s="1"/>
  <c r="O23" i="3" s="1"/>
  <c r="O23" i="4"/>
  <c r="Q8" i="15"/>
  <c r="R8" s="1"/>
  <c r="O7" i="3" s="1"/>
  <c r="O7" i="4"/>
  <c r="Q59" i="15"/>
  <c r="R59" s="1"/>
  <c r="O58" i="3" s="1"/>
  <c r="O58" i="4"/>
  <c r="Q35" i="15"/>
  <c r="R35" s="1"/>
  <c r="O34" i="3" s="1"/>
  <c r="O34" i="4"/>
  <c r="Q27" i="15"/>
  <c r="R27" s="1"/>
  <c r="O26" i="3" s="1"/>
  <c r="O26" i="4"/>
  <c r="Q11" i="15"/>
  <c r="R11" s="1"/>
  <c r="O10" i="3" s="1"/>
  <c r="O10" i="4"/>
  <c r="AE38" i="10"/>
  <c r="D22" i="4"/>
  <c r="D75" s="1"/>
  <c r="AE79" i="11"/>
  <c r="AN77"/>
  <c r="X41" i="4"/>
  <c r="X75" s="1"/>
  <c r="K44" i="15"/>
  <c r="N44" s="1"/>
  <c r="O44" s="1"/>
  <c r="AT45" i="5"/>
  <c r="K67" i="15"/>
  <c r="N67" s="1"/>
  <c r="O67" s="1"/>
  <c r="AT68" i="5"/>
  <c r="K43" i="15"/>
  <c r="N43" s="1"/>
  <c r="O43" s="1"/>
  <c r="AT44" i="5"/>
  <c r="K70" i="15"/>
  <c r="N70" s="1"/>
  <c r="O70" s="1"/>
  <c r="AT71" i="5"/>
  <c r="K46" i="15"/>
  <c r="N46" s="1"/>
  <c r="O46" s="1"/>
  <c r="AT47" i="5"/>
  <c r="K69" i="15"/>
  <c r="N69" s="1"/>
  <c r="O69" s="1"/>
  <c r="AT70" i="5"/>
  <c r="K37" i="15"/>
  <c r="N37" s="1"/>
  <c r="O37" s="1"/>
  <c r="AT38" i="5"/>
  <c r="AO43"/>
  <c r="AH43"/>
  <c r="AO37"/>
  <c r="AH37"/>
  <c r="AO56"/>
  <c r="AH56"/>
  <c r="AO40"/>
  <c r="AH40"/>
  <c r="AO59"/>
  <c r="AH59"/>
  <c r="AO39"/>
  <c r="AH39"/>
  <c r="AO58"/>
  <c r="AH58"/>
  <c r="AO42"/>
  <c r="AH42"/>
  <c r="AO26"/>
  <c r="AH26"/>
  <c r="AO10"/>
  <c r="AH10"/>
  <c r="AO55"/>
  <c r="AH55"/>
  <c r="AO54"/>
  <c r="AH54"/>
  <c r="AO53"/>
  <c r="AH53"/>
  <c r="AO25"/>
  <c r="AH25"/>
  <c r="AO60"/>
  <c r="AH60"/>
  <c r="AO28"/>
  <c r="AH28"/>
  <c r="AO35"/>
  <c r="AH35"/>
  <c r="AO62"/>
  <c r="AH62"/>
  <c r="AO30"/>
  <c r="AH30"/>
  <c r="AE5" i="13"/>
  <c r="AD24" i="11"/>
  <c r="AE5" i="12"/>
  <c r="AF65" i="5"/>
  <c r="AF21"/>
  <c r="AF64"/>
  <c r="AF51"/>
  <c r="AF50"/>
  <c r="AF69"/>
  <c r="AF17"/>
  <c r="AF52"/>
  <c r="AF20"/>
  <c r="AF63"/>
  <c r="AF19"/>
  <c r="AF46"/>
  <c r="AF22"/>
  <c r="F21" i="8"/>
  <c r="AF73" i="5"/>
  <c r="AF49"/>
  <c r="AF72"/>
  <c r="AF48"/>
  <c r="AF67"/>
  <c r="AF23"/>
  <c r="AF66"/>
  <c r="AF18"/>
  <c r="R75" i="4"/>
  <c r="AF77" i="11"/>
  <c r="AF45" i="5"/>
  <c r="AF68"/>
  <c r="AF44"/>
  <c r="AF71"/>
  <c r="AF47"/>
  <c r="AF70"/>
  <c r="AO9" l="1"/>
  <c r="M22" i="14"/>
  <c r="AO33" i="5"/>
  <c r="AG76"/>
  <c r="AF76"/>
  <c r="AF79" i="11"/>
  <c r="AH77"/>
  <c r="AE74" i="12"/>
  <c r="AG5"/>
  <c r="AE74" i="13"/>
  <c r="AG5"/>
  <c r="AE81" i="11"/>
  <c r="AF81" s="1"/>
  <c r="AJ81" s="1"/>
  <c r="Q17" i="15"/>
  <c r="R17" s="1"/>
  <c r="O16" i="3" s="1"/>
  <c r="O16" i="4"/>
  <c r="Q65" i="15"/>
  <c r="R65" s="1"/>
  <c r="O64" i="3" s="1"/>
  <c r="O64" i="4"/>
  <c r="Q22" i="15"/>
  <c r="R22" s="1"/>
  <c r="O21" i="3" s="1"/>
  <c r="O21" i="4"/>
  <c r="Q66" i="15"/>
  <c r="R66" s="1"/>
  <c r="O65" i="3" s="1"/>
  <c r="O65" i="4"/>
  <c r="Q47" i="15"/>
  <c r="R47" s="1"/>
  <c r="O46" i="3" s="1"/>
  <c r="O46" i="4"/>
  <c r="Q71" i="15"/>
  <c r="R71" s="1"/>
  <c r="O70" i="3" s="1"/>
  <c r="O70" i="4"/>
  <c r="Q48" i="15"/>
  <c r="R48" s="1"/>
  <c r="O47" i="3" s="1"/>
  <c r="O47" i="4"/>
  <c r="Q72" i="15"/>
  <c r="R72" s="1"/>
  <c r="O71" i="3" s="1"/>
  <c r="O71" i="4"/>
  <c r="AK74" i="5"/>
  <c r="AL74" s="1"/>
  <c r="AJ74"/>
  <c r="AK62"/>
  <c r="AL62" s="1"/>
  <c r="AJ62"/>
  <c r="AK58"/>
  <c r="AL58" s="1"/>
  <c r="AJ58"/>
  <c r="AK54"/>
  <c r="AL54" s="1"/>
  <c r="AJ54"/>
  <c r="AK40"/>
  <c r="AL40" s="1"/>
  <c r="AJ40"/>
  <c r="AK36"/>
  <c r="AL36" s="1"/>
  <c r="AJ36"/>
  <c r="AK32"/>
  <c r="AL32" s="1"/>
  <c r="AJ32"/>
  <c r="AK28"/>
  <c r="AL28" s="1"/>
  <c r="AJ28"/>
  <c r="AK15"/>
  <c r="AL15" s="1"/>
  <c r="AJ15"/>
  <c r="AK11"/>
  <c r="AL11" s="1"/>
  <c r="AJ11"/>
  <c r="K75" i="15"/>
  <c r="N75" s="1"/>
  <c r="O75" s="1"/>
  <c r="AT76" i="5"/>
  <c r="AL47" i="11"/>
  <c r="AN41"/>
  <c r="AG16" i="5"/>
  <c r="AC94" i="11"/>
  <c r="AD94" s="1"/>
  <c r="AH94" s="1"/>
  <c r="Q49" i="15"/>
  <c r="R49" s="1"/>
  <c r="O48" i="3" s="1"/>
  <c r="O48" i="4"/>
  <c r="Q73" i="15"/>
  <c r="R73" s="1"/>
  <c r="O72" i="3" s="1"/>
  <c r="O72" i="4"/>
  <c r="Q50" i="15"/>
  <c r="R50" s="1"/>
  <c r="O49" i="3" s="1"/>
  <c r="O49" i="4"/>
  <c r="Q74" i="15"/>
  <c r="R74" s="1"/>
  <c r="O73" i="3" s="1"/>
  <c r="O73" i="4"/>
  <c r="Q63" i="15"/>
  <c r="R63" s="1"/>
  <c r="O62" i="3" s="1"/>
  <c r="O62" i="4"/>
  <c r="Q20" i="15"/>
  <c r="R20" s="1"/>
  <c r="O19" i="3" s="1"/>
  <c r="O19" i="4"/>
  <c r="Q64" i="15"/>
  <c r="R64" s="1"/>
  <c r="O63" i="3" s="1"/>
  <c r="O63" i="4"/>
  <c r="S77" i="5"/>
  <c r="T8"/>
  <c r="AC32" i="11"/>
  <c r="AC30"/>
  <c r="AD30" s="1"/>
  <c r="AH30" s="1"/>
  <c r="AH70" i="5"/>
  <c r="AO70"/>
  <c r="AH47"/>
  <c r="AO47"/>
  <c r="AH71"/>
  <c r="AO71"/>
  <c r="AH44"/>
  <c r="AO44"/>
  <c r="AH68"/>
  <c r="AO68"/>
  <c r="AH45"/>
  <c r="AO45"/>
  <c r="AH18" i="10"/>
  <c r="AI10"/>
  <c r="AH30"/>
  <c r="AI29"/>
  <c r="AH18" i="5"/>
  <c r="AO18"/>
  <c r="AH66"/>
  <c r="AO66"/>
  <c r="AH23"/>
  <c r="AO23"/>
  <c r="AH67"/>
  <c r="AO67"/>
  <c r="AH48"/>
  <c r="AO48"/>
  <c r="AH72"/>
  <c r="AO72"/>
  <c r="AH49"/>
  <c r="AO49"/>
  <c r="AH73"/>
  <c r="AO73"/>
  <c r="AJ72"/>
  <c r="AK72"/>
  <c r="AL72" s="1"/>
  <c r="AJ68"/>
  <c r="AK68"/>
  <c r="AL68" s="1"/>
  <c r="AJ64"/>
  <c r="AK64"/>
  <c r="AL64" s="1"/>
  <c r="AJ52"/>
  <c r="AK52"/>
  <c r="AL52" s="1"/>
  <c r="AJ48"/>
  <c r="AK48"/>
  <c r="AL48" s="1"/>
  <c r="AJ21"/>
  <c r="AK21"/>
  <c r="AL21" s="1"/>
  <c r="AJ17"/>
  <c r="AK17"/>
  <c r="AL17" s="1"/>
  <c r="AJ73"/>
  <c r="AK73"/>
  <c r="AL73" s="1"/>
  <c r="AJ69"/>
  <c r="AK69"/>
  <c r="AL69" s="1"/>
  <c r="AJ65"/>
  <c r="AK65"/>
  <c r="AL65" s="1"/>
  <c r="AK61"/>
  <c r="AL61" s="1"/>
  <c r="AJ61"/>
  <c r="AK57"/>
  <c r="AL57" s="1"/>
  <c r="AJ57"/>
  <c r="AK53"/>
  <c r="AL53" s="1"/>
  <c r="AJ53"/>
  <c r="AJ49"/>
  <c r="AK49"/>
  <c r="AL49" s="1"/>
  <c r="AJ46"/>
  <c r="AK46"/>
  <c r="AL46" s="1"/>
  <c r="AK39"/>
  <c r="AL39" s="1"/>
  <c r="AJ39"/>
  <c r="AK35"/>
  <c r="AL35" s="1"/>
  <c r="AJ35"/>
  <c r="AK31"/>
  <c r="AL31" s="1"/>
  <c r="AJ31"/>
  <c r="AK27"/>
  <c r="AL27" s="1"/>
  <c r="AJ27"/>
  <c r="AJ20"/>
  <c r="AK20"/>
  <c r="AL20" s="1"/>
  <c r="AJ16"/>
  <c r="AK16"/>
  <c r="AL16" s="1"/>
  <c r="AK12"/>
  <c r="AL12" s="1"/>
  <c r="AJ12"/>
  <c r="O79" i="6"/>
  <c r="O75"/>
  <c r="AI87" i="5" s="1"/>
  <c r="R6" i="6"/>
  <c r="AI8" i="5"/>
  <c r="AF47" i="11"/>
  <c r="AH41"/>
  <c r="AC67"/>
  <c r="AD67" s="1"/>
  <c r="AH67" s="1"/>
  <c r="AH60"/>
  <c r="AF65"/>
  <c r="AQ74" i="12"/>
  <c r="AD76"/>
  <c r="AD78" s="1"/>
  <c r="AO74" i="5"/>
  <c r="AH74"/>
  <c r="N22" i="14"/>
  <c r="AD96" i="11"/>
  <c r="AD15"/>
  <c r="AD28"/>
  <c r="AD32" s="1"/>
  <c r="AF24"/>
  <c r="C29" i="2"/>
  <c r="BA30" i="5"/>
  <c r="AP30"/>
  <c r="D29" i="15" s="1"/>
  <c r="E29" s="1"/>
  <c r="F29" s="1"/>
  <c r="AW30" i="5"/>
  <c r="C61" i="2"/>
  <c r="BA62" i="5"/>
  <c r="AP62"/>
  <c r="D61" i="15" s="1"/>
  <c r="E61" s="1"/>
  <c r="F61" s="1"/>
  <c r="AW62" i="5"/>
  <c r="C34" i="2"/>
  <c r="BA35" i="5"/>
  <c r="AP35"/>
  <c r="D34" i="15" s="1"/>
  <c r="E34" s="1"/>
  <c r="F34" s="1"/>
  <c r="AW35" i="5"/>
  <c r="C27" i="2"/>
  <c r="BA28" i="5"/>
  <c r="AP28"/>
  <c r="D27" i="15" s="1"/>
  <c r="E27" s="1"/>
  <c r="F27" s="1"/>
  <c r="AW28" i="5"/>
  <c r="C59" i="2"/>
  <c r="BA60" i="5"/>
  <c r="AP60"/>
  <c r="D59" i="15" s="1"/>
  <c r="E59" s="1"/>
  <c r="F59" s="1"/>
  <c r="AW60" i="5"/>
  <c r="BA25"/>
  <c r="AP25"/>
  <c r="D24" i="15" s="1"/>
  <c r="E24" s="1"/>
  <c r="F24" s="1"/>
  <c r="C24" i="2"/>
  <c r="AW25" i="5"/>
  <c r="C52" i="2"/>
  <c r="BA53" i="5"/>
  <c r="AP53"/>
  <c r="D52" i="15" s="1"/>
  <c r="E52" s="1"/>
  <c r="F52" s="1"/>
  <c r="AW53" i="5"/>
  <c r="C53" i="2"/>
  <c r="BA54" i="5"/>
  <c r="AP54"/>
  <c r="D53" i="15" s="1"/>
  <c r="E53" s="1"/>
  <c r="F53" s="1"/>
  <c r="AW54" i="5"/>
  <c r="BA55"/>
  <c r="AP55"/>
  <c r="D54" i="15" s="1"/>
  <c r="E54" s="1"/>
  <c r="F54" s="1"/>
  <c r="C54" i="2"/>
  <c r="AW55" i="5"/>
  <c r="BA10"/>
  <c r="AP10"/>
  <c r="D9" i="15" s="1"/>
  <c r="E9" s="1"/>
  <c r="F9" s="1"/>
  <c r="C9" i="2"/>
  <c r="AW10" i="5"/>
  <c r="C25" i="2"/>
  <c r="BA26" i="5"/>
  <c r="AP26"/>
  <c r="D25" i="15" s="1"/>
  <c r="E25" s="1"/>
  <c r="F25" s="1"/>
  <c r="AW26" i="5"/>
  <c r="BA42"/>
  <c r="AP42"/>
  <c r="D41" i="15" s="1"/>
  <c r="E41" s="1"/>
  <c r="F41" s="1"/>
  <c r="C41" i="2"/>
  <c r="AW42" i="5"/>
  <c r="BA58"/>
  <c r="AP58"/>
  <c r="D57" i="15" s="1"/>
  <c r="E57" s="1"/>
  <c r="F57" s="1"/>
  <c r="C57" i="2"/>
  <c r="AW58" i="5"/>
  <c r="BA39"/>
  <c r="AP39"/>
  <c r="D38" i="15" s="1"/>
  <c r="E38" s="1"/>
  <c r="F38" s="1"/>
  <c r="C38" i="2"/>
  <c r="AW39" i="5"/>
  <c r="C58" i="2"/>
  <c r="BA59" i="5"/>
  <c r="AP59"/>
  <c r="D58" i="15" s="1"/>
  <c r="E58" s="1"/>
  <c r="F58" s="1"/>
  <c r="AW59" i="5"/>
  <c r="BA40"/>
  <c r="AP40"/>
  <c r="D39" i="15" s="1"/>
  <c r="E39" s="1"/>
  <c r="F39" s="1"/>
  <c r="C39" i="2"/>
  <c r="AW40" i="5"/>
  <c r="BA56"/>
  <c r="AP56"/>
  <c r="D55" i="15" s="1"/>
  <c r="E55" s="1"/>
  <c r="F55" s="1"/>
  <c r="C55" i="2"/>
  <c r="AW56" i="5"/>
  <c r="C36" i="2"/>
  <c r="BA37" i="5"/>
  <c r="AP37"/>
  <c r="D36" i="15" s="1"/>
  <c r="E36" s="1"/>
  <c r="F36" s="1"/>
  <c r="AW37" i="5"/>
  <c r="C42" i="2"/>
  <c r="BA43" i="5"/>
  <c r="AP43"/>
  <c r="D42" i="15" s="1"/>
  <c r="E42" s="1"/>
  <c r="F42" s="1"/>
  <c r="AW43" i="5"/>
  <c r="Q37" i="15"/>
  <c r="R37" s="1"/>
  <c r="O36" i="3" s="1"/>
  <c r="O36" i="4"/>
  <c r="Q69" i="15"/>
  <c r="R69" s="1"/>
  <c r="O68" i="3" s="1"/>
  <c r="O68" i="4"/>
  <c r="Q46" i="15"/>
  <c r="R46" s="1"/>
  <c r="O45" i="3" s="1"/>
  <c r="O45" i="4"/>
  <c r="Q70" i="15"/>
  <c r="R70" s="1"/>
  <c r="O69" i="3" s="1"/>
  <c r="O69" i="4"/>
  <c r="Q43" i="15"/>
  <c r="R43" s="1"/>
  <c r="O42" i="3" s="1"/>
  <c r="O42" i="4"/>
  <c r="Q67" i="15"/>
  <c r="R67" s="1"/>
  <c r="O66" i="3" s="1"/>
  <c r="O66" i="4"/>
  <c r="Q44" i="15"/>
  <c r="R44" s="1"/>
  <c r="O43" i="3" s="1"/>
  <c r="O43" i="4"/>
  <c r="AP77" i="11"/>
  <c r="AN79"/>
  <c r="AJ70" i="5"/>
  <c r="AK70"/>
  <c r="AL70" s="1"/>
  <c r="AJ66"/>
  <c r="AK66"/>
  <c r="AL66" s="1"/>
  <c r="AJ50"/>
  <c r="AK50"/>
  <c r="AL50" s="1"/>
  <c r="AJ45"/>
  <c r="AK45"/>
  <c r="AL45" s="1"/>
  <c r="AJ23"/>
  <c r="AK23"/>
  <c r="AL23" s="1"/>
  <c r="AJ19"/>
  <c r="AK19"/>
  <c r="AL19" s="1"/>
  <c r="AK75"/>
  <c r="AL75" s="1"/>
  <c r="AJ75"/>
  <c r="AJ71"/>
  <c r="AK71"/>
  <c r="AL71" s="1"/>
  <c r="AJ67"/>
  <c r="AK67"/>
  <c r="AL67" s="1"/>
  <c r="AJ63"/>
  <c r="AK63"/>
  <c r="AL63" s="1"/>
  <c r="AK59"/>
  <c r="AL59" s="1"/>
  <c r="AJ59"/>
  <c r="AK55"/>
  <c r="AL55" s="1"/>
  <c r="AJ55"/>
  <c r="AJ51"/>
  <c r="AK51"/>
  <c r="AL51" s="1"/>
  <c r="AJ47"/>
  <c r="AK47"/>
  <c r="AL47" s="1"/>
  <c r="AJ44"/>
  <c r="AK44"/>
  <c r="AL44" s="1"/>
  <c r="AK41"/>
  <c r="AL41" s="1"/>
  <c r="AJ41"/>
  <c r="AK37"/>
  <c r="AL37" s="1"/>
  <c r="AJ37"/>
  <c r="AK33"/>
  <c r="AL33" s="1"/>
  <c r="AJ33"/>
  <c r="AK29"/>
  <c r="AL29" s="1"/>
  <c r="AJ29"/>
  <c r="AK25"/>
  <c r="AL25" s="1"/>
  <c r="AJ25"/>
  <c r="AJ22"/>
  <c r="AK22"/>
  <c r="AL22" s="1"/>
  <c r="AJ18"/>
  <c r="AK18"/>
  <c r="AL18" s="1"/>
  <c r="AK14"/>
  <c r="AL14" s="1"/>
  <c r="AJ14"/>
  <c r="AK10"/>
  <c r="AL10" s="1"/>
  <c r="AJ10"/>
  <c r="AC49" i="11"/>
  <c r="AD49" s="1"/>
  <c r="AH49" s="1"/>
  <c r="BA33" i="5"/>
  <c r="AP33"/>
  <c r="D32" i="15" s="1"/>
  <c r="E32" s="1"/>
  <c r="F32" s="1"/>
  <c r="C32" i="2"/>
  <c r="AW33" i="5"/>
  <c r="Q21" i="15"/>
  <c r="R21" s="1"/>
  <c r="O20" i="3" s="1"/>
  <c r="O20" i="4"/>
  <c r="Q45" i="15"/>
  <c r="R45" s="1"/>
  <c r="O44" i="3" s="1"/>
  <c r="O44" i="4"/>
  <c r="Q18" i="15"/>
  <c r="R18" s="1"/>
  <c r="O17" i="3" s="1"/>
  <c r="O17" i="4"/>
  <c r="Q62" i="15"/>
  <c r="R62" s="1"/>
  <c r="O61" i="3" s="1"/>
  <c r="O61" i="4"/>
  <c r="Q19" i="15"/>
  <c r="R19" s="1"/>
  <c r="O18" i="3" s="1"/>
  <c r="O18" i="4"/>
  <c r="Q51" i="15"/>
  <c r="R51" s="1"/>
  <c r="O50" i="3" s="1"/>
  <c r="O50" i="4"/>
  <c r="Q16" i="15"/>
  <c r="R16" s="1"/>
  <c r="O15" i="3" s="1"/>
  <c r="O15" i="4"/>
  <c r="Q68" i="15"/>
  <c r="R68" s="1"/>
  <c r="O67" i="3" s="1"/>
  <c r="O67" i="4"/>
  <c r="AM28" i="10"/>
  <c r="K15" i="15"/>
  <c r="N15" s="1"/>
  <c r="O15" s="1"/>
  <c r="AT16" i="5"/>
  <c r="AL92" i="11"/>
  <c r="AN91"/>
  <c r="AL11"/>
  <c r="AN6"/>
  <c r="AN24"/>
  <c r="AL28"/>
  <c r="AO74" i="13"/>
  <c r="AD76"/>
  <c r="AE76" s="1"/>
  <c r="AG76" s="1"/>
  <c r="BA12" i="5"/>
  <c r="AP12"/>
  <c r="D11" i="15" s="1"/>
  <c r="E11" s="1"/>
  <c r="F11" s="1"/>
  <c r="C11" i="2"/>
  <c r="AW12" i="5"/>
  <c r="C8" i="2"/>
  <c r="BA9" i="5"/>
  <c r="AP9"/>
  <c r="D8" i="15" s="1"/>
  <c r="E8" s="1"/>
  <c r="F8" s="1"/>
  <c r="AW9" i="5"/>
  <c r="BA61"/>
  <c r="AP61"/>
  <c r="D60" i="15" s="1"/>
  <c r="E60" s="1"/>
  <c r="F60" s="1"/>
  <c r="C60" i="2"/>
  <c r="AW61" i="5"/>
  <c r="BA27"/>
  <c r="AP27"/>
  <c r="D26" i="15" s="1"/>
  <c r="E26" s="1"/>
  <c r="F26" s="1"/>
  <c r="C26" i="2"/>
  <c r="AW27" i="5"/>
  <c r="BA34"/>
  <c r="AP34"/>
  <c r="D33" i="15" s="1"/>
  <c r="E33" s="1"/>
  <c r="F33" s="1"/>
  <c r="C33" i="2"/>
  <c r="AW34" i="5"/>
  <c r="BA31"/>
  <c r="AP31"/>
  <c r="D30" i="15" s="1"/>
  <c r="E30" s="1"/>
  <c r="F30" s="1"/>
  <c r="C30" i="2"/>
  <c r="AW31" i="5"/>
  <c r="C23" i="2"/>
  <c r="BA24" i="5"/>
  <c r="AP24"/>
  <c r="D23" i="15" s="1"/>
  <c r="E23" s="1"/>
  <c r="F23" s="1"/>
  <c r="AW24" i="5"/>
  <c r="C12" i="2"/>
  <c r="BA13" i="5"/>
  <c r="AP13"/>
  <c r="D12" i="15" s="1"/>
  <c r="E12" s="1"/>
  <c r="F12" s="1"/>
  <c r="AW13" i="5"/>
  <c r="C56" i="2"/>
  <c r="BA57" i="5"/>
  <c r="AP57"/>
  <c r="D56" i="15" s="1"/>
  <c r="E56" s="1"/>
  <c r="F56" s="1"/>
  <c r="AW57" i="5"/>
  <c r="AG44" i="10"/>
  <c r="AG40"/>
  <c r="AH40" s="1"/>
  <c r="AM40" s="1"/>
  <c r="AF38"/>
  <c r="Q22" i="4"/>
  <c r="AK76" i="5"/>
  <c r="AL76" s="1"/>
  <c r="AJ76"/>
  <c r="AK60"/>
  <c r="AL60" s="1"/>
  <c r="AJ60"/>
  <c r="AK56"/>
  <c r="AL56" s="1"/>
  <c r="AJ56"/>
  <c r="AK42"/>
  <c r="AL42" s="1"/>
  <c r="AJ42"/>
  <c r="AK38"/>
  <c r="AL38" s="1"/>
  <c r="AJ38"/>
  <c r="AK34"/>
  <c r="AL34" s="1"/>
  <c r="AJ34"/>
  <c r="AK30"/>
  <c r="AL30" s="1"/>
  <c r="AJ30"/>
  <c r="AK26"/>
  <c r="AL26" s="1"/>
  <c r="AJ26"/>
  <c r="AK13"/>
  <c r="AL13" s="1"/>
  <c r="AJ13"/>
  <c r="AK9"/>
  <c r="AL9" s="1"/>
  <c r="AJ9"/>
  <c r="AK43"/>
  <c r="AL43" s="1"/>
  <c r="AJ43"/>
  <c r="AK24"/>
  <c r="AL24" s="1"/>
  <c r="AJ24"/>
  <c r="H47" i="1"/>
  <c r="G47"/>
  <c r="E43"/>
  <c r="AL65" i="11"/>
  <c r="AN60"/>
  <c r="R10" i="14"/>
  <c r="P18"/>
  <c r="P22" s="1"/>
  <c r="AH22" i="5"/>
  <c r="AO22"/>
  <c r="AH46"/>
  <c r="AO46"/>
  <c r="AH19"/>
  <c r="AO19"/>
  <c r="AH63"/>
  <c r="AO63"/>
  <c r="AH20"/>
  <c r="AO20"/>
  <c r="AH52"/>
  <c r="AO52"/>
  <c r="AH17"/>
  <c r="AO17"/>
  <c r="AH69"/>
  <c r="AO69"/>
  <c r="AF92" i="11"/>
  <c r="AH91"/>
  <c r="AH50" i="5"/>
  <c r="AO50"/>
  <c r="AH51"/>
  <c r="AO51"/>
  <c r="AH64"/>
  <c r="AO64"/>
  <c r="AH21"/>
  <c r="AO21"/>
  <c r="AH65"/>
  <c r="AO65"/>
  <c r="AF11" i="11"/>
  <c r="AH6"/>
  <c r="AO38" i="5"/>
  <c r="AH38"/>
  <c r="AO75"/>
  <c r="AH75"/>
  <c r="AF16"/>
  <c r="AO36"/>
  <c r="AO41"/>
  <c r="AO14"/>
  <c r="AO11"/>
  <c r="AO15"/>
  <c r="AO32"/>
  <c r="AO29"/>
  <c r="Q75" i="4"/>
  <c r="AD51" i="11"/>
  <c r="AD69"/>
  <c r="AC96" l="1"/>
  <c r="BA29" i="5"/>
  <c r="AP29"/>
  <c r="D28" i="15" s="1"/>
  <c r="E28" s="1"/>
  <c r="F28" s="1"/>
  <c r="C28" i="2"/>
  <c r="AW29" i="5"/>
  <c r="BA14"/>
  <c r="AP14"/>
  <c r="D13" i="15" s="1"/>
  <c r="E13" s="1"/>
  <c r="F13" s="1"/>
  <c r="C13" i="2"/>
  <c r="AW14" i="5"/>
  <c r="BA65"/>
  <c r="AP65"/>
  <c r="D64" i="15" s="1"/>
  <c r="E64" s="1"/>
  <c r="F64" s="1"/>
  <c r="C64" i="2"/>
  <c r="AW65" i="5"/>
  <c r="BA64"/>
  <c r="AP64"/>
  <c r="D63" i="15" s="1"/>
  <c r="E63" s="1"/>
  <c r="F63" s="1"/>
  <c r="C63" i="2"/>
  <c r="AW64" i="5"/>
  <c r="BA50"/>
  <c r="AP50"/>
  <c r="D49" i="15" s="1"/>
  <c r="E49" s="1"/>
  <c r="F49" s="1"/>
  <c r="C49" i="2"/>
  <c r="AW50" i="5"/>
  <c r="BA17"/>
  <c r="AP17"/>
  <c r="D16" i="15" s="1"/>
  <c r="E16" s="1"/>
  <c r="F16" s="1"/>
  <c r="C16" i="2"/>
  <c r="AW17" i="5"/>
  <c r="C60" i="11"/>
  <c r="D40" i="13"/>
  <c r="D40" i="12"/>
  <c r="C77" i="11"/>
  <c r="C41"/>
  <c r="D2" i="9"/>
  <c r="H7" i="23"/>
  <c r="J7" s="1"/>
  <c r="K7" s="1"/>
  <c r="H7" i="19"/>
  <c r="J7" s="1"/>
  <c r="K7" s="1"/>
  <c r="D6" i="13"/>
  <c r="D6" i="12"/>
  <c r="H24" i="23"/>
  <c r="J24" s="1"/>
  <c r="K24" s="1"/>
  <c r="H24" i="19"/>
  <c r="J24" s="1"/>
  <c r="K24" s="1"/>
  <c r="D23" i="13"/>
  <c r="D23" i="12"/>
  <c r="H32" i="23"/>
  <c r="J32" s="1"/>
  <c r="K32" s="1"/>
  <c r="H32" i="19"/>
  <c r="J32" s="1"/>
  <c r="K32" s="1"/>
  <c r="D31" i="13"/>
  <c r="D31" i="12"/>
  <c r="H40" i="23"/>
  <c r="J40" s="1"/>
  <c r="K40" s="1"/>
  <c r="H40" i="19"/>
  <c r="J40" s="1"/>
  <c r="K40" s="1"/>
  <c r="D39" i="13"/>
  <c r="D39" i="12"/>
  <c r="AF43" i="10"/>
  <c r="AF42"/>
  <c r="AH42" s="1"/>
  <c r="AM42" s="1"/>
  <c r="C31" i="2"/>
  <c r="BA32" i="5"/>
  <c r="AP32"/>
  <c r="D31" i="15" s="1"/>
  <c r="E31" s="1"/>
  <c r="F31" s="1"/>
  <c r="AW32" i="5"/>
  <c r="C10" i="2"/>
  <c r="BA11" i="5"/>
  <c r="AP11"/>
  <c r="D10" i="15" s="1"/>
  <c r="E10" s="1"/>
  <c r="F10" s="1"/>
  <c r="AW11" i="5"/>
  <c r="C40" i="2"/>
  <c r="BA41" i="5"/>
  <c r="AP41"/>
  <c r="D40" i="15" s="1"/>
  <c r="E40" s="1"/>
  <c r="F40" s="1"/>
  <c r="AW41" i="5"/>
  <c r="BA75"/>
  <c r="AP75"/>
  <c r="D74" i="15" s="1"/>
  <c r="E74" s="1"/>
  <c r="F74" s="1"/>
  <c r="C74" i="2"/>
  <c r="AW75" i="5"/>
  <c r="BA38"/>
  <c r="AP38"/>
  <c r="D37" i="15" s="1"/>
  <c r="E37" s="1"/>
  <c r="F37" s="1"/>
  <c r="C37" i="2"/>
  <c r="AW38" i="5"/>
  <c r="W10" i="14"/>
  <c r="W18" s="1"/>
  <c r="T10"/>
  <c r="R18"/>
  <c r="AX57" i="5"/>
  <c r="AV57"/>
  <c r="H11" i="26"/>
  <c r="I11" s="1"/>
  <c r="H11" i="22"/>
  <c r="I11" s="1"/>
  <c r="G12" i="15"/>
  <c r="AX24" i="5"/>
  <c r="AV24"/>
  <c r="AX34"/>
  <c r="AV34"/>
  <c r="H32" i="26"/>
  <c r="I32" s="1"/>
  <c r="H32" i="22"/>
  <c r="I32" s="1"/>
  <c r="G33" i="15"/>
  <c r="AX61" i="5"/>
  <c r="AV61"/>
  <c r="H59" i="26"/>
  <c r="I59" s="1"/>
  <c r="H59" i="22"/>
  <c r="I59" s="1"/>
  <c r="G60" i="15"/>
  <c r="H7" i="26"/>
  <c r="I7" s="1"/>
  <c r="H7" i="22"/>
  <c r="I7" s="1"/>
  <c r="G8" i="15"/>
  <c r="AX12" i="5"/>
  <c r="AV12"/>
  <c r="H10" i="26"/>
  <c r="I10" s="1"/>
  <c r="H10" i="22"/>
  <c r="I10" s="1"/>
  <c r="G11" i="15"/>
  <c r="AN11" i="11"/>
  <c r="T22" i="3"/>
  <c r="T75" s="1"/>
  <c r="AN92" i="11"/>
  <c r="Y15" i="3"/>
  <c r="Y75" s="1"/>
  <c r="AX33" i="5"/>
  <c r="AV33"/>
  <c r="H31" i="26"/>
  <c r="I31" s="1"/>
  <c r="H31" i="22"/>
  <c r="I31" s="1"/>
  <c r="G32" i="15"/>
  <c r="H8" i="23"/>
  <c r="J8" s="1"/>
  <c r="K8" s="1"/>
  <c r="H8" i="19"/>
  <c r="J8" s="1"/>
  <c r="K8" s="1"/>
  <c r="D7" i="13"/>
  <c r="D7" i="12"/>
  <c r="H12" i="23"/>
  <c r="J12" s="1"/>
  <c r="K12" s="1"/>
  <c r="H12" i="19"/>
  <c r="J12" s="1"/>
  <c r="K12" s="1"/>
  <c r="D11" i="13"/>
  <c r="D11" i="12"/>
  <c r="H23" i="23"/>
  <c r="J23" s="1"/>
  <c r="K23" s="1"/>
  <c r="H23" i="19"/>
  <c r="J23" s="1"/>
  <c r="K23" s="1"/>
  <c r="D22" i="13"/>
  <c r="D22" i="12"/>
  <c r="H27" i="23"/>
  <c r="J27" s="1"/>
  <c r="K27" s="1"/>
  <c r="H27" i="19"/>
  <c r="J27" s="1"/>
  <c r="K27" s="1"/>
  <c r="D26" i="13"/>
  <c r="D26" i="12"/>
  <c r="H130" i="23"/>
  <c r="J130" s="1"/>
  <c r="K130" s="1"/>
  <c r="H123"/>
  <c r="J123" s="1"/>
  <c r="K123" s="1"/>
  <c r="H31"/>
  <c r="J31" s="1"/>
  <c r="K31" s="1"/>
  <c r="H126" i="19"/>
  <c r="J126" s="1"/>
  <c r="K126" s="1"/>
  <c r="H122"/>
  <c r="J122" s="1"/>
  <c r="K122" s="1"/>
  <c r="H31"/>
  <c r="J31" s="1"/>
  <c r="K31" s="1"/>
  <c r="C61" i="11"/>
  <c r="D61" s="1"/>
  <c r="G61" s="1"/>
  <c r="D30" i="13"/>
  <c r="D30" i="12"/>
  <c r="C78" i="11"/>
  <c r="D78" s="1"/>
  <c r="G78" s="1"/>
  <c r="C42"/>
  <c r="H35" i="23"/>
  <c r="J35" s="1"/>
  <c r="K35" s="1"/>
  <c r="H35" i="19"/>
  <c r="J35" s="1"/>
  <c r="K35" s="1"/>
  <c r="D34" i="13"/>
  <c r="D34" i="12"/>
  <c r="H39" i="23"/>
  <c r="J39" s="1"/>
  <c r="K39" s="1"/>
  <c r="H39" i="19"/>
  <c r="J39" s="1"/>
  <c r="K39" s="1"/>
  <c r="D38" i="13"/>
  <c r="D38" i="12"/>
  <c r="H118" i="23"/>
  <c r="J118" s="1"/>
  <c r="K118" s="1"/>
  <c r="H53"/>
  <c r="J53" s="1"/>
  <c r="K53" s="1"/>
  <c r="H117" i="19"/>
  <c r="J117" s="1"/>
  <c r="K117" s="1"/>
  <c r="H53"/>
  <c r="J53" s="1"/>
  <c r="K53" s="1"/>
  <c r="D52" i="13"/>
  <c r="D52" i="12"/>
  <c r="C45" i="11"/>
  <c r="D45" s="1"/>
  <c r="G45" s="1"/>
  <c r="H126" i="23"/>
  <c r="J126" s="1"/>
  <c r="K126" s="1"/>
  <c r="H57"/>
  <c r="J57" s="1"/>
  <c r="K57" s="1"/>
  <c r="H57" i="19"/>
  <c r="J57" s="1"/>
  <c r="K57" s="1"/>
  <c r="C64" i="11"/>
  <c r="D64" s="1"/>
  <c r="G64" s="1"/>
  <c r="D56" i="13"/>
  <c r="D56" i="12"/>
  <c r="C46" i="11"/>
  <c r="H73" i="23"/>
  <c r="J73" s="1"/>
  <c r="K73" s="1"/>
  <c r="H73" i="19"/>
  <c r="J73" s="1"/>
  <c r="K73" s="1"/>
  <c r="C9" i="11"/>
  <c r="D72" i="13"/>
  <c r="D72" i="12"/>
  <c r="AP79" i="11"/>
  <c r="X41" i="3"/>
  <c r="X75" s="1"/>
  <c r="H41" i="26"/>
  <c r="I41" s="1"/>
  <c r="H41" i="22"/>
  <c r="I41" s="1"/>
  <c r="G42" i="15"/>
  <c r="AX37" i="5"/>
  <c r="AV37"/>
  <c r="AX40"/>
  <c r="AV40"/>
  <c r="H38" i="26"/>
  <c r="I38" s="1"/>
  <c r="H38" i="22"/>
  <c r="I38" s="1"/>
  <c r="G39" i="15"/>
  <c r="H57" i="26"/>
  <c r="I57" s="1"/>
  <c r="H57" i="22"/>
  <c r="I57" s="1"/>
  <c r="G58" i="15"/>
  <c r="AX39" i="5"/>
  <c r="AV39"/>
  <c r="H37" i="26"/>
  <c r="I37" s="1"/>
  <c r="H37" i="22"/>
  <c r="I37" s="1"/>
  <c r="G38" i="15"/>
  <c r="AX42" i="5"/>
  <c r="AV42"/>
  <c r="H40" i="26"/>
  <c r="I40" s="1"/>
  <c r="H40" i="22"/>
  <c r="I40" s="1"/>
  <c r="G41" i="15"/>
  <c r="H24" i="26"/>
  <c r="I24" s="1"/>
  <c r="H24" i="22"/>
  <c r="I24" s="1"/>
  <c r="G25" i="15"/>
  <c r="AX10" i="5"/>
  <c r="AV10"/>
  <c r="H8" i="26"/>
  <c r="I8" s="1"/>
  <c r="H8" i="22"/>
  <c r="I8" s="1"/>
  <c r="G9" i="15"/>
  <c r="AX54" i="5"/>
  <c r="AV54"/>
  <c r="H51" i="26"/>
  <c r="I51" s="1"/>
  <c r="H51" i="22"/>
  <c r="I51" s="1"/>
  <c r="G52" i="15"/>
  <c r="AX25" i="5"/>
  <c r="AV25"/>
  <c r="H23" i="26"/>
  <c r="I23" s="1"/>
  <c r="H23" i="22"/>
  <c r="I23" s="1"/>
  <c r="G24" i="15"/>
  <c r="H58" i="26"/>
  <c r="I58" s="1"/>
  <c r="H58" i="22"/>
  <c r="I58" s="1"/>
  <c r="G59" i="15"/>
  <c r="AX28" i="5"/>
  <c r="AV28"/>
  <c r="H33" i="26"/>
  <c r="I33" s="1"/>
  <c r="H33" i="22"/>
  <c r="I33" s="1"/>
  <c r="G34" i="15"/>
  <c r="AX62" i="5"/>
  <c r="AV62"/>
  <c r="H28" i="26"/>
  <c r="I28" s="1"/>
  <c r="H28" i="22"/>
  <c r="I28" s="1"/>
  <c r="G29" i="15"/>
  <c r="AF28" i="11"/>
  <c r="AH24"/>
  <c r="BA74" i="5"/>
  <c r="AP74"/>
  <c r="D73" i="15" s="1"/>
  <c r="E73" s="1"/>
  <c r="F73" s="1"/>
  <c r="C73" i="2"/>
  <c r="AW74" i="5"/>
  <c r="AH47" i="11"/>
  <c r="AI41"/>
  <c r="AI77" i="5"/>
  <c r="AJ8"/>
  <c r="D13" i="13"/>
  <c r="D13" i="12"/>
  <c r="D28" i="10"/>
  <c r="D26"/>
  <c r="D29"/>
  <c r="H18" i="23"/>
  <c r="J18" s="1"/>
  <c r="K18" s="1"/>
  <c r="H18" i="19"/>
  <c r="J18" s="1"/>
  <c r="K18" s="1"/>
  <c r="D17" i="13"/>
  <c r="D17" i="12"/>
  <c r="D43" i="13"/>
  <c r="D43" i="12"/>
  <c r="C7" i="11"/>
  <c r="D7" s="1"/>
  <c r="G7" s="1"/>
  <c r="D23" i="10"/>
  <c r="D21"/>
  <c r="H47" i="23"/>
  <c r="J47" s="1"/>
  <c r="K47" s="1"/>
  <c r="H47" i="19"/>
  <c r="J47" s="1"/>
  <c r="K47" s="1"/>
  <c r="D46" i="13"/>
  <c r="D46" i="12"/>
  <c r="H63" i="23"/>
  <c r="J63" s="1"/>
  <c r="K63" s="1"/>
  <c r="H63" i="19"/>
  <c r="J63" s="1"/>
  <c r="K63" s="1"/>
  <c r="D62" i="13"/>
  <c r="D62" i="12"/>
  <c r="H67" i="23"/>
  <c r="J67" s="1"/>
  <c r="K67" s="1"/>
  <c r="H67" i="19"/>
  <c r="J67" s="1"/>
  <c r="K67" s="1"/>
  <c r="D66" i="13"/>
  <c r="D66" i="12"/>
  <c r="H71" i="23"/>
  <c r="J71" s="1"/>
  <c r="K71" s="1"/>
  <c r="H71" i="19"/>
  <c r="J71" s="1"/>
  <c r="K71" s="1"/>
  <c r="D70" i="13"/>
  <c r="D70" i="12"/>
  <c r="H15" i="23"/>
  <c r="J15" s="1"/>
  <c r="K15" s="1"/>
  <c r="H15" i="19"/>
  <c r="J15" s="1"/>
  <c r="K15" s="1"/>
  <c r="D14" i="13"/>
  <c r="D14" i="12"/>
  <c r="C91" i="11"/>
  <c r="H19" i="23"/>
  <c r="J19" s="1"/>
  <c r="K19" s="1"/>
  <c r="H19" i="19"/>
  <c r="J19" s="1"/>
  <c r="K19" s="1"/>
  <c r="D18" i="13"/>
  <c r="D18" i="12"/>
  <c r="H46" i="23"/>
  <c r="J46" s="1"/>
  <c r="K46" s="1"/>
  <c r="H46" i="19"/>
  <c r="J46" s="1"/>
  <c r="K46" s="1"/>
  <c r="D45" i="13"/>
  <c r="D45" i="12"/>
  <c r="H50" i="23"/>
  <c r="J50" s="1"/>
  <c r="K50" s="1"/>
  <c r="H125"/>
  <c r="J125" s="1"/>
  <c r="K125" s="1"/>
  <c r="H117"/>
  <c r="J117" s="1"/>
  <c r="K117" s="1"/>
  <c r="H50" i="19"/>
  <c r="J50" s="1"/>
  <c r="K50" s="1"/>
  <c r="H116"/>
  <c r="J116" s="1"/>
  <c r="K116" s="1"/>
  <c r="D49" i="13"/>
  <c r="D49" i="12"/>
  <c r="C63" i="11"/>
  <c r="D63" s="1"/>
  <c r="G63" s="1"/>
  <c r="C44"/>
  <c r="D44" s="1"/>
  <c r="G44" s="1"/>
  <c r="H62" i="23"/>
  <c r="J62" s="1"/>
  <c r="K62" s="1"/>
  <c r="H62" i="19"/>
  <c r="J62" s="1"/>
  <c r="K62" s="1"/>
  <c r="D61" i="13"/>
  <c r="D61" i="12"/>
  <c r="H66" i="23"/>
  <c r="J66" s="1"/>
  <c r="K66" s="1"/>
  <c r="H66" i="19"/>
  <c r="J66" s="1"/>
  <c r="K66" s="1"/>
  <c r="D65" i="13"/>
  <c r="D65" i="12"/>
  <c r="H70" i="23"/>
  <c r="J70" s="1"/>
  <c r="K70" s="1"/>
  <c r="H70" i="19"/>
  <c r="J70" s="1"/>
  <c r="K70" s="1"/>
  <c r="D69" i="13"/>
  <c r="D69" i="12"/>
  <c r="BA73" i="5"/>
  <c r="AP73"/>
  <c r="D72" i="15" s="1"/>
  <c r="E72" s="1"/>
  <c r="F72" s="1"/>
  <c r="C72" i="2"/>
  <c r="AW73" i="5"/>
  <c r="AQ73" s="1"/>
  <c r="BA49"/>
  <c r="AP49"/>
  <c r="D48" i="15" s="1"/>
  <c r="E48" s="1"/>
  <c r="F48" s="1"/>
  <c r="C48" i="2"/>
  <c r="AW49" i="5"/>
  <c r="AQ49" s="1"/>
  <c r="BA72"/>
  <c r="AP72"/>
  <c r="D71" i="15" s="1"/>
  <c r="E71" s="1"/>
  <c r="F71" s="1"/>
  <c r="C71" i="2"/>
  <c r="AW72" i="5"/>
  <c r="BA48"/>
  <c r="AP48"/>
  <c r="D47" i="15" s="1"/>
  <c r="E47" s="1"/>
  <c r="F47" s="1"/>
  <c r="C47" i="2"/>
  <c r="AW48" i="5"/>
  <c r="BA67"/>
  <c r="AP67"/>
  <c r="D66" i="15" s="1"/>
  <c r="E66" s="1"/>
  <c r="F66" s="1"/>
  <c r="C66" i="2"/>
  <c r="AW67" i="5"/>
  <c r="AQ67" s="1"/>
  <c r="BA23"/>
  <c r="AP23"/>
  <c r="D22" i="15" s="1"/>
  <c r="E22" s="1"/>
  <c r="F22" s="1"/>
  <c r="C22" i="2"/>
  <c r="AW23" i="5"/>
  <c r="BA66"/>
  <c r="AP66"/>
  <c r="D65" i="15" s="1"/>
  <c r="E65" s="1"/>
  <c r="F65" s="1"/>
  <c r="C65" i="2"/>
  <c r="AW66" i="5"/>
  <c r="BA18"/>
  <c r="AP18"/>
  <c r="D17" i="15" s="1"/>
  <c r="E17" s="1"/>
  <c r="F17" s="1"/>
  <c r="C17" i="2"/>
  <c r="AQ18" i="5"/>
  <c r="AW18"/>
  <c r="AK29" i="10"/>
  <c r="AI30"/>
  <c r="AI18"/>
  <c r="AI38" s="1"/>
  <c r="AK10"/>
  <c r="BA45" i="5"/>
  <c r="AP45"/>
  <c r="D44" i="15" s="1"/>
  <c r="E44" s="1"/>
  <c r="F44" s="1"/>
  <c r="C44" i="2"/>
  <c r="AW45" i="5"/>
  <c r="BA68"/>
  <c r="AP68"/>
  <c r="D67" i="15" s="1"/>
  <c r="E67" s="1"/>
  <c r="F67" s="1"/>
  <c r="C67" i="2"/>
  <c r="AW68" i="5"/>
  <c r="BA44"/>
  <c r="AP44"/>
  <c r="D43" i="15" s="1"/>
  <c r="E43" s="1"/>
  <c r="F43" s="1"/>
  <c r="C43" i="2"/>
  <c r="AW44" i="5"/>
  <c r="BA71"/>
  <c r="AP71"/>
  <c r="D70" i="15" s="1"/>
  <c r="E70" s="1"/>
  <c r="F70" s="1"/>
  <c r="C70" i="2"/>
  <c r="AW71" i="5"/>
  <c r="AQ71" s="1"/>
  <c r="BA47"/>
  <c r="AP47"/>
  <c r="D46" i="15" s="1"/>
  <c r="E46" s="1"/>
  <c r="F46" s="1"/>
  <c r="C46" i="2"/>
  <c r="AW47" i="5"/>
  <c r="AQ47" s="1"/>
  <c r="BA70"/>
  <c r="AP70"/>
  <c r="D69" i="15" s="1"/>
  <c r="E69" s="1"/>
  <c r="F69" s="1"/>
  <c r="C69" i="2"/>
  <c r="AW70" i="5"/>
  <c r="T77"/>
  <c r="W8"/>
  <c r="X8"/>
  <c r="AA8"/>
  <c r="AA77" s="1"/>
  <c r="Z8"/>
  <c r="U8"/>
  <c r="AH16"/>
  <c r="AO16"/>
  <c r="AN47" i="11"/>
  <c r="V41" i="3"/>
  <c r="V75" s="1"/>
  <c r="AG74" i="13"/>
  <c r="AG78" s="1"/>
  <c r="AI5"/>
  <c r="AG74" i="12"/>
  <c r="AI5"/>
  <c r="AH79" i="11"/>
  <c r="AJ77"/>
  <c r="AQ57" i="5"/>
  <c r="AQ24"/>
  <c r="AQ34"/>
  <c r="AQ61"/>
  <c r="AQ12"/>
  <c r="AD78" i="13"/>
  <c r="AQ33" i="5"/>
  <c r="AC51" i="11"/>
  <c r="AQ37" i="5"/>
  <c r="AQ40"/>
  <c r="AQ39"/>
  <c r="AQ42"/>
  <c r="AQ10"/>
  <c r="AQ54"/>
  <c r="AQ25"/>
  <c r="AQ28"/>
  <c r="AQ62"/>
  <c r="AC69" i="11"/>
  <c r="AE83"/>
  <c r="C14" i="2"/>
  <c r="BA15" i="5"/>
  <c r="AP15"/>
  <c r="D14" i="15" s="1"/>
  <c r="E14" s="1"/>
  <c r="F14" s="1"/>
  <c r="AW15" i="5"/>
  <c r="BA36"/>
  <c r="AP36"/>
  <c r="D35" i="15" s="1"/>
  <c r="E35" s="1"/>
  <c r="F35" s="1"/>
  <c r="C35" i="2"/>
  <c r="AW36" i="5"/>
  <c r="AH11" i="11"/>
  <c r="AI6"/>
  <c r="BA21" i="5"/>
  <c r="AP21"/>
  <c r="D20" i="15" s="1"/>
  <c r="E20" s="1"/>
  <c r="F20" s="1"/>
  <c r="C20" i="2"/>
  <c r="AW21" i="5"/>
  <c r="BA51"/>
  <c r="AP51"/>
  <c r="D50" i="15" s="1"/>
  <c r="E50" s="1"/>
  <c r="F50" s="1"/>
  <c r="C50" i="2"/>
  <c r="AW51" i="5"/>
  <c r="AH92" i="11"/>
  <c r="AI91"/>
  <c r="BA69" i="5"/>
  <c r="AP69"/>
  <c r="D68" i="15" s="1"/>
  <c r="E68" s="1"/>
  <c r="F68" s="1"/>
  <c r="C68" i="2"/>
  <c r="AQ69" i="5"/>
  <c r="AW69"/>
  <c r="BA52"/>
  <c r="AP52"/>
  <c r="D51" i="15" s="1"/>
  <c r="E51" s="1"/>
  <c r="F51" s="1"/>
  <c r="C51" i="2"/>
  <c r="AW52" i="5"/>
  <c r="BA20"/>
  <c r="AP20"/>
  <c r="D19" i="15" s="1"/>
  <c r="E19" s="1"/>
  <c r="F19" s="1"/>
  <c r="C19" i="2"/>
  <c r="AW20" i="5"/>
  <c r="AQ20" s="1"/>
  <c r="BA63"/>
  <c r="AP63"/>
  <c r="D62" i="15" s="1"/>
  <c r="E62" s="1"/>
  <c r="F62" s="1"/>
  <c r="C62" i="2"/>
  <c r="AW63" i="5"/>
  <c r="BA19"/>
  <c r="AP19"/>
  <c r="D18" i="15" s="1"/>
  <c r="E18" s="1"/>
  <c r="F18" s="1"/>
  <c r="C18" i="2"/>
  <c r="AW19" i="5"/>
  <c r="BA46"/>
  <c r="AP46"/>
  <c r="D45" i="15" s="1"/>
  <c r="E45" s="1"/>
  <c r="F45" s="1"/>
  <c r="C45" i="2"/>
  <c r="AW46" i="5"/>
  <c r="BA22"/>
  <c r="AP22"/>
  <c r="D21" i="15" s="1"/>
  <c r="E21" s="1"/>
  <c r="F21" s="1"/>
  <c r="C21" i="2"/>
  <c r="AW22" i="5"/>
  <c r="AQ22" s="1"/>
  <c r="AN65" i="11"/>
  <c r="W41" i="3"/>
  <c r="W75" s="1"/>
  <c r="H43" i="1"/>
  <c r="G43"/>
  <c r="E39"/>
  <c r="D21" i="13"/>
  <c r="D21" i="12"/>
  <c r="C6" i="11"/>
  <c r="D17" i="10"/>
  <c r="D13"/>
  <c r="D12"/>
  <c r="D11"/>
  <c r="D10"/>
  <c r="D7"/>
  <c r="D15"/>
  <c r="D14"/>
  <c r="H11" i="23"/>
  <c r="J11" s="1"/>
  <c r="K11" s="1"/>
  <c r="H11" i="19"/>
  <c r="J11" s="1"/>
  <c r="K11" s="1"/>
  <c r="D10" i="13"/>
  <c r="D10" i="12"/>
  <c r="H28" i="23"/>
  <c r="J28" s="1"/>
  <c r="K28" s="1"/>
  <c r="H28" i="19"/>
  <c r="J28" s="1"/>
  <c r="K28" s="1"/>
  <c r="D27" i="13"/>
  <c r="D27" i="12"/>
  <c r="H36" i="23"/>
  <c r="J36" s="1"/>
  <c r="K36" s="1"/>
  <c r="H36" i="19"/>
  <c r="J36" s="1"/>
  <c r="K36" s="1"/>
  <c r="D35" i="13"/>
  <c r="D35" i="12"/>
  <c r="C26" i="11"/>
  <c r="H54" i="23"/>
  <c r="J54" s="1"/>
  <c r="K54" s="1"/>
  <c r="H54" i="19"/>
  <c r="J54" s="1"/>
  <c r="K54" s="1"/>
  <c r="D53" i="13"/>
  <c r="D53" i="12"/>
  <c r="H58" i="23"/>
  <c r="J58" s="1"/>
  <c r="K58" s="1"/>
  <c r="H58" i="19"/>
  <c r="J58" s="1"/>
  <c r="K58" s="1"/>
  <c r="D57" i="13"/>
  <c r="D57" i="12"/>
  <c r="H74" i="23"/>
  <c r="J74" s="1"/>
  <c r="K74" s="1"/>
  <c r="H74" i="19"/>
  <c r="J74" s="1"/>
  <c r="K74" s="1"/>
  <c r="D73" i="13"/>
  <c r="D73" i="12"/>
  <c r="C10" i="11"/>
  <c r="H55" i="26"/>
  <c r="I55" s="1"/>
  <c r="H55" i="22"/>
  <c r="I55" s="1"/>
  <c r="G56" i="15"/>
  <c r="AX13" i="5"/>
  <c r="AV13"/>
  <c r="H22" i="26"/>
  <c r="I22" s="1"/>
  <c r="H22" i="22"/>
  <c r="I22" s="1"/>
  <c r="G23" i="15"/>
  <c r="AX31" i="5"/>
  <c r="AV31"/>
  <c r="H29" i="26"/>
  <c r="I29" s="1"/>
  <c r="H29" i="22"/>
  <c r="I29" s="1"/>
  <c r="G30" i="15"/>
  <c r="AX27" i="5"/>
  <c r="AV27"/>
  <c r="H25" i="26"/>
  <c r="I25" s="1"/>
  <c r="H25" i="22"/>
  <c r="I25" s="1"/>
  <c r="G26" i="15"/>
  <c r="AX9" i="5"/>
  <c r="AV9"/>
  <c r="AI76" i="13"/>
  <c r="U61" i="3"/>
  <c r="U75" s="1"/>
  <c r="AN28" i="11"/>
  <c r="Q15" i="15"/>
  <c r="R15" s="1"/>
  <c r="O14" i="3" s="1"/>
  <c r="O14" i="4"/>
  <c r="AN28" i="10"/>
  <c r="H16" i="23"/>
  <c r="J16" s="1"/>
  <c r="K16" s="1"/>
  <c r="H16" i="19"/>
  <c r="J16" s="1"/>
  <c r="K16" s="1"/>
  <c r="D15" i="13"/>
  <c r="D15" i="12"/>
  <c r="H20" i="23"/>
  <c r="J20" s="1"/>
  <c r="K20" s="1"/>
  <c r="H20" i="19"/>
  <c r="J20" s="1"/>
  <c r="K20" s="1"/>
  <c r="D19" i="13"/>
  <c r="D19" i="12"/>
  <c r="H42" i="23"/>
  <c r="J42" s="1"/>
  <c r="K42" s="1"/>
  <c r="H42" i="19"/>
  <c r="J42" s="1"/>
  <c r="K42" s="1"/>
  <c r="D41" i="13"/>
  <c r="D41" i="12"/>
  <c r="C25" i="11"/>
  <c r="H45" i="23"/>
  <c r="J45" s="1"/>
  <c r="K45" s="1"/>
  <c r="H45" i="19"/>
  <c r="J45" s="1"/>
  <c r="K45" s="1"/>
  <c r="D44" i="13"/>
  <c r="D44" i="12"/>
  <c r="H116" i="23"/>
  <c r="J116" s="1"/>
  <c r="K116" s="1"/>
  <c r="H49"/>
  <c r="J49" s="1"/>
  <c r="K49" s="1"/>
  <c r="H115" i="19"/>
  <c r="J115" s="1"/>
  <c r="K115" s="1"/>
  <c r="H49"/>
  <c r="J49" s="1"/>
  <c r="K49" s="1"/>
  <c r="D48" i="13"/>
  <c r="D48" i="12"/>
  <c r="C43" i="11"/>
  <c r="D43" s="1"/>
  <c r="G43" s="1"/>
  <c r="H61" i="23"/>
  <c r="J61" s="1"/>
  <c r="K61" s="1"/>
  <c r="H61" i="19"/>
  <c r="J61" s="1"/>
  <c r="K61" s="1"/>
  <c r="C24" i="11"/>
  <c r="D60" i="13"/>
  <c r="D60" i="12"/>
  <c r="H65" i="23"/>
  <c r="J65" s="1"/>
  <c r="K65" s="1"/>
  <c r="H65" i="19"/>
  <c r="J65" s="1"/>
  <c r="K65" s="1"/>
  <c r="D64" i="13"/>
  <c r="D64" i="12"/>
  <c r="H69" i="23"/>
  <c r="J69" s="1"/>
  <c r="K69" s="1"/>
  <c r="H69" i="19"/>
  <c r="J69" s="1"/>
  <c r="K69" s="1"/>
  <c r="D68" i="13"/>
  <c r="D68" i="12"/>
  <c r="H17" i="23"/>
  <c r="J17" s="1"/>
  <c r="K17" s="1"/>
  <c r="H17" i="19"/>
  <c r="J17" s="1"/>
  <c r="K17" s="1"/>
  <c r="D16" i="13"/>
  <c r="D16" i="12"/>
  <c r="H21" i="23"/>
  <c r="J21" s="1"/>
  <c r="K21" s="1"/>
  <c r="H21" i="19"/>
  <c r="J21" s="1"/>
  <c r="K21" s="1"/>
  <c r="D20" i="13"/>
  <c r="D20" i="12"/>
  <c r="H124" i="23"/>
  <c r="J124" s="1"/>
  <c r="K124" s="1"/>
  <c r="H43"/>
  <c r="J43" s="1"/>
  <c r="K43" s="1"/>
  <c r="H43" i="19"/>
  <c r="J43" s="1"/>
  <c r="K43" s="1"/>
  <c r="C62" i="11"/>
  <c r="D62" s="1"/>
  <c r="G62" s="1"/>
  <c r="D42" i="13"/>
  <c r="D42" i="12"/>
  <c r="H48" i="23"/>
  <c r="J48" s="1"/>
  <c r="K48" s="1"/>
  <c r="H48" i="19"/>
  <c r="J48" s="1"/>
  <c r="K48" s="1"/>
  <c r="D47" i="13"/>
  <c r="D47" i="12"/>
  <c r="H64" i="23"/>
  <c r="J64" s="1"/>
  <c r="K64" s="1"/>
  <c r="H64" i="19"/>
  <c r="J64" s="1"/>
  <c r="K64" s="1"/>
  <c r="D63" i="13"/>
  <c r="D63" i="12"/>
  <c r="H68" i="23"/>
  <c r="J68" s="1"/>
  <c r="K68" s="1"/>
  <c r="H68" i="19"/>
  <c r="J68" s="1"/>
  <c r="K68" s="1"/>
  <c r="D67" i="13"/>
  <c r="D67" i="12"/>
  <c r="AX43" i="5"/>
  <c r="AV43"/>
  <c r="H35" i="26"/>
  <c r="I35" s="1"/>
  <c r="H35" i="22"/>
  <c r="I35" s="1"/>
  <c r="G36" i="15"/>
  <c r="AX56" i="5"/>
  <c r="AV56"/>
  <c r="H54" i="26"/>
  <c r="I54" s="1"/>
  <c r="H54" i="22"/>
  <c r="I54" s="1"/>
  <c r="G55" i="15"/>
  <c r="AX59" i="5"/>
  <c r="AV59"/>
  <c r="AX58"/>
  <c r="AV58"/>
  <c r="H56" i="26"/>
  <c r="I56" s="1"/>
  <c r="H56" i="22"/>
  <c r="I56" s="1"/>
  <c r="G57" i="15"/>
  <c r="AX26" i="5"/>
  <c r="AV26"/>
  <c r="AX55"/>
  <c r="AV55"/>
  <c r="H53" i="26"/>
  <c r="I53" s="1"/>
  <c r="H53" i="22"/>
  <c r="I53" s="1"/>
  <c r="G54" i="15"/>
  <c r="H52" i="26"/>
  <c r="I52" s="1"/>
  <c r="H52" i="22"/>
  <c r="I52" s="1"/>
  <c r="G53" i="15"/>
  <c r="AX53" i="5"/>
  <c r="AV53"/>
  <c r="AX60"/>
  <c r="AV60"/>
  <c r="H26" i="26"/>
  <c r="I26" s="1"/>
  <c r="H26" i="22"/>
  <c r="I26" s="1"/>
  <c r="G27" i="15"/>
  <c r="AX35" i="5"/>
  <c r="AV35"/>
  <c r="H60" i="26"/>
  <c r="I60" s="1"/>
  <c r="H60" i="22"/>
  <c r="I60" s="1"/>
  <c r="G61" i="15"/>
  <c r="AX30" i="5"/>
  <c r="AV30"/>
  <c r="AE76" i="12"/>
  <c r="AG76"/>
  <c r="AH65" i="11"/>
  <c r="AI60"/>
  <c r="AM8" i="5"/>
  <c r="R75" i="6"/>
  <c r="AM87" i="5" s="1"/>
  <c r="H10" i="23"/>
  <c r="J10" s="1"/>
  <c r="K10" s="1"/>
  <c r="H10" i="19"/>
  <c r="J10" s="1"/>
  <c r="K10" s="1"/>
  <c r="D9" i="13"/>
  <c r="D9" i="12"/>
  <c r="H25" i="23"/>
  <c r="J25" s="1"/>
  <c r="K25" s="1"/>
  <c r="H25" i="19"/>
  <c r="J25" s="1"/>
  <c r="K25" s="1"/>
  <c r="D24" i="13"/>
  <c r="D24" i="12"/>
  <c r="H29" i="23"/>
  <c r="J29" s="1"/>
  <c r="K29" s="1"/>
  <c r="H29" i="19"/>
  <c r="J29" s="1"/>
  <c r="K29" s="1"/>
  <c r="D28" i="13"/>
  <c r="D28" i="12"/>
  <c r="H33" i="23"/>
  <c r="J33" s="1"/>
  <c r="K33" s="1"/>
  <c r="H33" i="19"/>
  <c r="J33" s="1"/>
  <c r="K33" s="1"/>
  <c r="D32" i="13"/>
  <c r="D32" i="12"/>
  <c r="H102" i="23"/>
  <c r="J102" s="1"/>
  <c r="K102" s="1"/>
  <c r="H37"/>
  <c r="J37" s="1"/>
  <c r="K37" s="1"/>
  <c r="H37" i="19"/>
  <c r="J37" s="1"/>
  <c r="K37" s="1"/>
  <c r="D36" i="13"/>
  <c r="D36" i="12"/>
  <c r="D50" i="13"/>
  <c r="D50" i="12"/>
  <c r="D35" i="10"/>
  <c r="D33"/>
  <c r="H55" i="23"/>
  <c r="J55" s="1"/>
  <c r="K55" s="1"/>
  <c r="H55" i="19"/>
  <c r="J55" s="1"/>
  <c r="K55" s="1"/>
  <c r="D54" i="13"/>
  <c r="D54" i="12"/>
  <c r="H59" i="23"/>
  <c r="J59" s="1"/>
  <c r="K59" s="1"/>
  <c r="H59" i="19"/>
  <c r="J59" s="1"/>
  <c r="K59" s="1"/>
  <c r="D58" i="13"/>
  <c r="D58" i="12"/>
  <c r="Q75" i="15"/>
  <c r="R75" s="1"/>
  <c r="O74" i="3" s="1"/>
  <c r="O74" i="4"/>
  <c r="H9" i="23"/>
  <c r="J9" s="1"/>
  <c r="K9" s="1"/>
  <c r="H9" i="19"/>
  <c r="J9" s="1"/>
  <c r="K9" s="1"/>
  <c r="D8" i="13"/>
  <c r="D8" i="12"/>
  <c r="H13" i="23"/>
  <c r="J13" s="1"/>
  <c r="K13" s="1"/>
  <c r="H13" i="19"/>
  <c r="J13" s="1"/>
  <c r="K13" s="1"/>
  <c r="D12" i="13"/>
  <c r="D12" i="12"/>
  <c r="H26" i="23"/>
  <c r="J26" s="1"/>
  <c r="K26" s="1"/>
  <c r="H26" i="19"/>
  <c r="J26" s="1"/>
  <c r="K26" s="1"/>
  <c r="D25" i="13"/>
  <c r="D25" i="12"/>
  <c r="H30" i="23"/>
  <c r="J30" s="1"/>
  <c r="K30" s="1"/>
  <c r="H30" i="19"/>
  <c r="J30" s="1"/>
  <c r="K30" s="1"/>
  <c r="D29" i="13"/>
  <c r="D29" i="12"/>
  <c r="H34" i="23"/>
  <c r="J34" s="1"/>
  <c r="K34" s="1"/>
  <c r="H34" i="19"/>
  <c r="J34" s="1"/>
  <c r="K34" s="1"/>
  <c r="D33" i="13"/>
  <c r="D33" i="12"/>
  <c r="H38" i="23"/>
  <c r="J38" s="1"/>
  <c r="K38" s="1"/>
  <c r="H38" i="19"/>
  <c r="J38" s="1"/>
  <c r="K38" s="1"/>
  <c r="D37" i="13"/>
  <c r="D37" i="12"/>
  <c r="H52" i="23"/>
  <c r="J52" s="1"/>
  <c r="K52" s="1"/>
  <c r="H52" i="19"/>
  <c r="J52" s="1"/>
  <c r="K52" s="1"/>
  <c r="D51" i="13"/>
  <c r="D51" i="12"/>
  <c r="H56" i="23"/>
  <c r="J56" s="1"/>
  <c r="K56" s="1"/>
  <c r="H56" i="19"/>
  <c r="J56" s="1"/>
  <c r="K56" s="1"/>
  <c r="D55" i="13"/>
  <c r="D55" i="12"/>
  <c r="H60" i="23"/>
  <c r="J60" s="1"/>
  <c r="K60" s="1"/>
  <c r="H60" i="19"/>
  <c r="J60" s="1"/>
  <c r="K60" s="1"/>
  <c r="D59" i="13"/>
  <c r="D59" i="12"/>
  <c r="H72" i="23"/>
  <c r="J72" s="1"/>
  <c r="K72" s="1"/>
  <c r="H72" i="19"/>
  <c r="J72" s="1"/>
  <c r="K72" s="1"/>
  <c r="D71" i="13"/>
  <c r="D71" i="12"/>
  <c r="C8" i="11"/>
  <c r="AO76" i="5"/>
  <c r="AH76"/>
  <c r="AQ13"/>
  <c r="AQ31"/>
  <c r="AQ27"/>
  <c r="AQ9"/>
  <c r="AQ43"/>
  <c r="AQ56"/>
  <c r="AQ59"/>
  <c r="AQ58"/>
  <c r="AQ26"/>
  <c r="AQ55"/>
  <c r="AQ53"/>
  <c r="AQ60"/>
  <c r="AQ35"/>
  <c r="AQ30"/>
  <c r="AH38" i="10"/>
  <c r="AH44" s="1"/>
  <c r="AE78" i="13"/>
  <c r="AE78" i="12"/>
  <c r="AF83" i="11"/>
  <c r="BA76" i="5" l="1"/>
  <c r="AP76"/>
  <c r="D75" i="15" s="1"/>
  <c r="E75" s="1"/>
  <c r="F75" s="1"/>
  <c r="C75" i="2"/>
  <c r="AW76" i="5"/>
  <c r="H72" i="24"/>
  <c r="J72" s="1"/>
  <c r="K72" s="1"/>
  <c r="H72" i="20"/>
  <c r="J72" s="1"/>
  <c r="K72" s="1"/>
  <c r="E71" i="12"/>
  <c r="H71" s="1"/>
  <c r="L72" i="19"/>
  <c r="M72"/>
  <c r="C71" i="18"/>
  <c r="H60" i="24"/>
  <c r="J60" s="1"/>
  <c r="K60" s="1"/>
  <c r="H60" i="20"/>
  <c r="J60" s="1"/>
  <c r="K60" s="1"/>
  <c r="E59" i="12"/>
  <c r="H59" s="1"/>
  <c r="L60" i="19"/>
  <c r="M60"/>
  <c r="C59" i="18"/>
  <c r="I61" i="2"/>
  <c r="H56" i="24"/>
  <c r="J56" s="1"/>
  <c r="K56" s="1"/>
  <c r="H56" i="20"/>
  <c r="J56" s="1"/>
  <c r="K56" s="1"/>
  <c r="E55" i="12"/>
  <c r="H55" s="1"/>
  <c r="L56" i="19"/>
  <c r="M56"/>
  <c r="C55" i="18"/>
  <c r="I57" i="2"/>
  <c r="H52" i="24"/>
  <c r="J52" s="1"/>
  <c r="K52" s="1"/>
  <c r="H52" i="20"/>
  <c r="J52" s="1"/>
  <c r="K52" s="1"/>
  <c r="E51" i="12"/>
  <c r="H51" s="1"/>
  <c r="L52" i="19"/>
  <c r="M52"/>
  <c r="C51" i="18"/>
  <c r="I53" i="2"/>
  <c r="H38" i="24"/>
  <c r="J38" s="1"/>
  <c r="K38" s="1"/>
  <c r="H38" i="20"/>
  <c r="J38" s="1"/>
  <c r="K38" s="1"/>
  <c r="E37" i="12"/>
  <c r="H37" s="1"/>
  <c r="L38" i="19"/>
  <c r="M38"/>
  <c r="C37" i="18"/>
  <c r="I39" i="2"/>
  <c r="H34" i="24"/>
  <c r="J34" s="1"/>
  <c r="K34" s="1"/>
  <c r="H34" i="20"/>
  <c r="J34" s="1"/>
  <c r="K34" s="1"/>
  <c r="E33" i="12"/>
  <c r="H33" s="1"/>
  <c r="L34" i="19"/>
  <c r="M34"/>
  <c r="C33" i="18"/>
  <c r="I35" i="2"/>
  <c r="H30" i="24"/>
  <c r="J30" s="1"/>
  <c r="K30" s="1"/>
  <c r="H30" i="20"/>
  <c r="J30" s="1"/>
  <c r="K30" s="1"/>
  <c r="E29" i="12"/>
  <c r="H29" s="1"/>
  <c r="L30" i="19"/>
  <c r="M30"/>
  <c r="C29" i="18"/>
  <c r="I31" i="2"/>
  <c r="H26" i="24"/>
  <c r="J26" s="1"/>
  <c r="K26" s="1"/>
  <c r="H26" i="20"/>
  <c r="J26" s="1"/>
  <c r="K26" s="1"/>
  <c r="E25" i="12"/>
  <c r="H25" s="1"/>
  <c r="L26" i="19"/>
  <c r="M26"/>
  <c r="C25" i="18"/>
  <c r="I27" i="2"/>
  <c r="H13" i="24"/>
  <c r="J13" s="1"/>
  <c r="K13" s="1"/>
  <c r="H13" i="20"/>
  <c r="J13" s="1"/>
  <c r="K13" s="1"/>
  <c r="E12" i="12"/>
  <c r="H12" s="1"/>
  <c r="M13" i="19"/>
  <c r="L13"/>
  <c r="C12" i="18"/>
  <c r="I14" i="2"/>
  <c r="H9" i="24"/>
  <c r="J9" s="1"/>
  <c r="K9" s="1"/>
  <c r="H9" i="20"/>
  <c r="J9" s="1"/>
  <c r="K9" s="1"/>
  <c r="E8" i="12"/>
  <c r="H8" s="1"/>
  <c r="M9" i="19"/>
  <c r="L9"/>
  <c r="C8" i="18"/>
  <c r="I10" i="2"/>
  <c r="H59" i="24"/>
  <c r="J59" s="1"/>
  <c r="K59" s="1"/>
  <c r="H59" i="20"/>
  <c r="J59" s="1"/>
  <c r="K59" s="1"/>
  <c r="E58" i="12"/>
  <c r="H58" s="1"/>
  <c r="M59" i="19"/>
  <c r="L59"/>
  <c r="C58" i="18"/>
  <c r="I60" i="2"/>
  <c r="H55" i="24"/>
  <c r="J55" s="1"/>
  <c r="K55" s="1"/>
  <c r="H55" i="20"/>
  <c r="J55" s="1"/>
  <c r="K55" s="1"/>
  <c r="E54" i="12"/>
  <c r="H54" s="1"/>
  <c r="M55" i="19"/>
  <c r="L55"/>
  <c r="C54" i="18"/>
  <c r="I56" i="2"/>
  <c r="H51" i="23"/>
  <c r="J51" s="1"/>
  <c r="K51" s="1"/>
  <c r="H51" i="19"/>
  <c r="J51" s="1"/>
  <c r="K51" s="1"/>
  <c r="E33" i="10"/>
  <c r="H51" i="24"/>
  <c r="J51" s="1"/>
  <c r="K51" s="1"/>
  <c r="H51" i="20"/>
  <c r="J51" s="1"/>
  <c r="K51" s="1"/>
  <c r="E50" i="12"/>
  <c r="H50" s="1"/>
  <c r="H37" i="24"/>
  <c r="J37" s="1"/>
  <c r="K37" s="1"/>
  <c r="H37" i="20"/>
  <c r="J37" s="1"/>
  <c r="K37" s="1"/>
  <c r="E36" i="12"/>
  <c r="H36" s="1"/>
  <c r="M37" i="19"/>
  <c r="L37"/>
  <c r="C36" i="18"/>
  <c r="I38" i="2"/>
  <c r="M102" i="23"/>
  <c r="L102"/>
  <c r="D101" i="18"/>
  <c r="E101" s="1"/>
  <c r="I7" i="11"/>
  <c r="J7" s="1"/>
  <c r="H33" i="25"/>
  <c r="J33" s="1"/>
  <c r="K33" s="1"/>
  <c r="H33" i="21"/>
  <c r="J33" s="1"/>
  <c r="K33" s="1"/>
  <c r="E32" i="13"/>
  <c r="H32" s="1"/>
  <c r="M33" i="23"/>
  <c r="L33"/>
  <c r="D32" i="18"/>
  <c r="J34" i="2"/>
  <c r="H29" i="25"/>
  <c r="J29" s="1"/>
  <c r="K29" s="1"/>
  <c r="H29" i="21"/>
  <c r="J29" s="1"/>
  <c r="K29" s="1"/>
  <c r="E28" i="13"/>
  <c r="H28" s="1"/>
  <c r="M29" i="23"/>
  <c r="L29"/>
  <c r="D28" i="18"/>
  <c r="J30" i="2"/>
  <c r="H25" i="25"/>
  <c r="J25" s="1"/>
  <c r="K25" s="1"/>
  <c r="H25" i="21"/>
  <c r="J25" s="1"/>
  <c r="K25" s="1"/>
  <c r="E24" i="13"/>
  <c r="H24" s="1"/>
  <c r="M25" i="23"/>
  <c r="L25"/>
  <c r="D24" i="18"/>
  <c r="J26" i="2"/>
  <c r="H10" i="25"/>
  <c r="J10" s="1"/>
  <c r="K10" s="1"/>
  <c r="H10" i="21"/>
  <c r="J10" s="1"/>
  <c r="K10" s="1"/>
  <c r="E9" i="13"/>
  <c r="H9" s="1"/>
  <c r="L10" i="23"/>
  <c r="M10"/>
  <c r="D9" i="18"/>
  <c r="J11" i="2"/>
  <c r="AM77" i="5"/>
  <c r="AN77" s="1"/>
  <c r="AN8"/>
  <c r="K60" i="22"/>
  <c r="J60"/>
  <c r="S27" i="15"/>
  <c r="I27"/>
  <c r="J27" s="1"/>
  <c r="V27" s="1"/>
  <c r="J26" i="26"/>
  <c r="K26"/>
  <c r="K52" i="22"/>
  <c r="J52"/>
  <c r="S54" i="15"/>
  <c r="I54"/>
  <c r="J54" s="1"/>
  <c r="V54" s="1"/>
  <c r="K53" i="26"/>
  <c r="J53"/>
  <c r="K56" i="22"/>
  <c r="J56"/>
  <c r="S55" i="15"/>
  <c r="I55"/>
  <c r="J55" s="1"/>
  <c r="V55" s="1"/>
  <c r="J54" i="26"/>
  <c r="K54"/>
  <c r="K35" i="22"/>
  <c r="J35"/>
  <c r="H68" i="24"/>
  <c r="J68" s="1"/>
  <c r="K68" s="1"/>
  <c r="H68" i="20"/>
  <c r="J68" s="1"/>
  <c r="K68" s="1"/>
  <c r="E67" i="12"/>
  <c r="H67" s="1"/>
  <c r="L68" i="19"/>
  <c r="M68"/>
  <c r="C67" i="18"/>
  <c r="I69" i="2"/>
  <c r="H64" i="24"/>
  <c r="J64" s="1"/>
  <c r="K64" s="1"/>
  <c r="H64" i="20"/>
  <c r="J64" s="1"/>
  <c r="K64" s="1"/>
  <c r="E63" i="12"/>
  <c r="H63" s="1"/>
  <c r="L64" i="19"/>
  <c r="M64"/>
  <c r="C63" i="18"/>
  <c r="I65" i="2"/>
  <c r="H48" i="24"/>
  <c r="J48" s="1"/>
  <c r="K48" s="1"/>
  <c r="H48" i="20"/>
  <c r="J48" s="1"/>
  <c r="K48" s="1"/>
  <c r="E47" i="12"/>
  <c r="H47" s="1"/>
  <c r="L48" i="19"/>
  <c r="M48"/>
  <c r="C47" i="18"/>
  <c r="I49" i="2"/>
  <c r="H43" i="24"/>
  <c r="J43" s="1"/>
  <c r="K43" s="1"/>
  <c r="H43" i="20"/>
  <c r="J43" s="1"/>
  <c r="K43" s="1"/>
  <c r="E42" i="12"/>
  <c r="H42" s="1"/>
  <c r="M43" i="23"/>
  <c r="L43"/>
  <c r="D42" i="18"/>
  <c r="J44" i="2"/>
  <c r="H21" i="24"/>
  <c r="J21" s="1"/>
  <c r="K21" s="1"/>
  <c r="H21" i="20"/>
  <c r="J21" s="1"/>
  <c r="K21" s="1"/>
  <c r="E20" i="12"/>
  <c r="H20" s="1"/>
  <c r="M21" i="19"/>
  <c r="L21"/>
  <c r="C20" i="18"/>
  <c r="I22" i="2"/>
  <c r="H17" i="24"/>
  <c r="J17" s="1"/>
  <c r="K17" s="1"/>
  <c r="H17" i="20"/>
  <c r="J17" s="1"/>
  <c r="K17" s="1"/>
  <c r="E16" i="12"/>
  <c r="H16" s="1"/>
  <c r="M17" i="19"/>
  <c r="L17"/>
  <c r="C16" i="18"/>
  <c r="I18" i="2"/>
  <c r="H69" i="24"/>
  <c r="J69" s="1"/>
  <c r="K69" s="1"/>
  <c r="H69" i="20"/>
  <c r="J69" s="1"/>
  <c r="K69" s="1"/>
  <c r="E68" i="12"/>
  <c r="H68" s="1"/>
  <c r="M69" i="19"/>
  <c r="L69"/>
  <c r="C68" i="18"/>
  <c r="I70" i="2"/>
  <c r="H65" i="24"/>
  <c r="J65" s="1"/>
  <c r="K65" s="1"/>
  <c r="H65" i="20"/>
  <c r="J65" s="1"/>
  <c r="K65" s="1"/>
  <c r="E64" i="12"/>
  <c r="H64" s="1"/>
  <c r="M65" i="19"/>
  <c r="L65"/>
  <c r="C64" i="18"/>
  <c r="I66" i="2"/>
  <c r="H61" i="24"/>
  <c r="J61" s="1"/>
  <c r="K61" s="1"/>
  <c r="H61" i="20"/>
  <c r="J61" s="1"/>
  <c r="K61" s="1"/>
  <c r="E60" i="12"/>
  <c r="H60" s="1"/>
  <c r="H108" i="23"/>
  <c r="J108" s="1"/>
  <c r="K108" s="1"/>
  <c r="J62" i="2" s="1"/>
  <c r="H107" i="19"/>
  <c r="J107" s="1"/>
  <c r="K107" s="1"/>
  <c r="C27" i="11"/>
  <c r="D24"/>
  <c r="M61" i="23"/>
  <c r="L61"/>
  <c r="D60" i="18"/>
  <c r="H49" i="24"/>
  <c r="J49" s="1"/>
  <c r="K49" s="1"/>
  <c r="H49" i="20"/>
  <c r="J49" s="1"/>
  <c r="K49" s="1"/>
  <c r="E48" i="12"/>
  <c r="H48" s="1"/>
  <c r="M49" i="19"/>
  <c r="L49"/>
  <c r="C48" i="18"/>
  <c r="I50" i="2"/>
  <c r="M49" i="23"/>
  <c r="L49"/>
  <c r="D48" i="18"/>
  <c r="J50" i="2"/>
  <c r="H45" i="24"/>
  <c r="J45" s="1"/>
  <c r="K45" s="1"/>
  <c r="H45" i="20"/>
  <c r="J45" s="1"/>
  <c r="K45" s="1"/>
  <c r="E44" i="12"/>
  <c r="H44" s="1"/>
  <c r="M45" i="19"/>
  <c r="L45"/>
  <c r="C44" i="18"/>
  <c r="I46" i="2"/>
  <c r="H109" i="23"/>
  <c r="J109" s="1"/>
  <c r="K109" s="1"/>
  <c r="J43" i="2" s="1"/>
  <c r="H108" i="19"/>
  <c r="J108" s="1"/>
  <c r="K108" s="1"/>
  <c r="D25" i="11"/>
  <c r="G25" s="1"/>
  <c r="H42" i="25"/>
  <c r="J42" s="1"/>
  <c r="K42" s="1"/>
  <c r="H42" i="21"/>
  <c r="J42" s="1"/>
  <c r="K42" s="1"/>
  <c r="E41" i="13"/>
  <c r="H41" s="1"/>
  <c r="L42" i="23"/>
  <c r="M42"/>
  <c r="D41" i="18"/>
  <c r="H20" i="25"/>
  <c r="J20" s="1"/>
  <c r="K20" s="1"/>
  <c r="H20" i="21"/>
  <c r="J20" s="1"/>
  <c r="K20" s="1"/>
  <c r="E19" i="13"/>
  <c r="H19" s="1"/>
  <c r="L20" i="23"/>
  <c r="M20"/>
  <c r="D19" i="18"/>
  <c r="J21" i="2"/>
  <c r="H16" i="25"/>
  <c r="J16" s="1"/>
  <c r="K16" s="1"/>
  <c r="H16" i="21"/>
  <c r="J16" s="1"/>
  <c r="K16" s="1"/>
  <c r="E15" i="13"/>
  <c r="H15" s="1"/>
  <c r="L16" i="23"/>
  <c r="M16"/>
  <c r="D15" i="18"/>
  <c r="J17" i="2"/>
  <c r="K25" i="22"/>
  <c r="J25"/>
  <c r="S30" i="15"/>
  <c r="I30"/>
  <c r="J30" s="1"/>
  <c r="V30" s="1"/>
  <c r="K29" i="26"/>
  <c r="J29"/>
  <c r="K22" i="22"/>
  <c r="J22"/>
  <c r="S56" i="15"/>
  <c r="I56"/>
  <c r="J56" s="1"/>
  <c r="V56" s="1"/>
  <c r="K55" i="26"/>
  <c r="J55"/>
  <c r="H74" i="24"/>
  <c r="J74" s="1"/>
  <c r="K74" s="1"/>
  <c r="H74" i="20"/>
  <c r="J74" s="1"/>
  <c r="K74" s="1"/>
  <c r="E73" i="12"/>
  <c r="H73" s="1"/>
  <c r="L74" i="19"/>
  <c r="M74"/>
  <c r="C73" i="18"/>
  <c r="H58" i="24"/>
  <c r="J58" s="1"/>
  <c r="K58" s="1"/>
  <c r="H58" i="20"/>
  <c r="J58" s="1"/>
  <c r="K58" s="1"/>
  <c r="E57" i="12"/>
  <c r="H57" s="1"/>
  <c r="L58" i="19"/>
  <c r="M58"/>
  <c r="C57" i="18"/>
  <c r="I59" i="2"/>
  <c r="H54" i="24"/>
  <c r="J54" s="1"/>
  <c r="K54" s="1"/>
  <c r="H54" i="20"/>
  <c r="J54" s="1"/>
  <c r="K54" s="1"/>
  <c r="E53" i="12"/>
  <c r="H53" s="1"/>
  <c r="L54" i="19"/>
  <c r="M54"/>
  <c r="C53" i="18"/>
  <c r="I55" i="2"/>
  <c r="H110" i="23"/>
  <c r="J110" s="1"/>
  <c r="K110" s="1"/>
  <c r="J37" i="2" s="1"/>
  <c r="H109" i="19"/>
  <c r="J109" s="1"/>
  <c r="K109" s="1"/>
  <c r="D26" i="11"/>
  <c r="G26" s="1"/>
  <c r="H36" i="25"/>
  <c r="J36" s="1"/>
  <c r="K36" s="1"/>
  <c r="H36" i="21"/>
  <c r="J36" s="1"/>
  <c r="K36" s="1"/>
  <c r="E35" i="13"/>
  <c r="H35" s="1"/>
  <c r="L36" i="23"/>
  <c r="M36"/>
  <c r="D35" i="18"/>
  <c r="H28" i="25"/>
  <c r="J28" s="1"/>
  <c r="K28" s="1"/>
  <c r="H28" i="21"/>
  <c r="J28" s="1"/>
  <c r="K28" s="1"/>
  <c r="E27" i="13"/>
  <c r="H27" s="1"/>
  <c r="L28" i="23"/>
  <c r="M28"/>
  <c r="D27" i="18"/>
  <c r="J29" i="2"/>
  <c r="H11" i="25"/>
  <c r="J11" s="1"/>
  <c r="K11" s="1"/>
  <c r="H11" i="21"/>
  <c r="J11" s="1"/>
  <c r="K11" s="1"/>
  <c r="E10" i="13"/>
  <c r="H10" s="1"/>
  <c r="M11" i="23"/>
  <c r="L11"/>
  <c r="D10" i="18"/>
  <c r="J12" i="2"/>
  <c r="H139" i="23"/>
  <c r="J139" s="1"/>
  <c r="K139" s="1"/>
  <c r="H135" i="19"/>
  <c r="J135" s="1"/>
  <c r="K135" s="1"/>
  <c r="E15" i="10"/>
  <c r="H15" s="1"/>
  <c r="H195" i="23"/>
  <c r="J195" s="1"/>
  <c r="K195" s="1"/>
  <c r="H191" i="19"/>
  <c r="J191" s="1"/>
  <c r="K191" s="1"/>
  <c r="E10" i="10"/>
  <c r="H197" i="23"/>
  <c r="J197" s="1"/>
  <c r="K197" s="1"/>
  <c r="H193" i="19"/>
  <c r="J193" s="1"/>
  <c r="K193" s="1"/>
  <c r="E12" i="10"/>
  <c r="H12" s="1"/>
  <c r="H200" i="23"/>
  <c r="J200" s="1"/>
  <c r="K200" s="1"/>
  <c r="H196" i="19"/>
  <c r="J196" s="1"/>
  <c r="K196" s="1"/>
  <c r="E17" i="10"/>
  <c r="H17" s="1"/>
  <c r="H22" i="24"/>
  <c r="J22" s="1"/>
  <c r="K22" s="1"/>
  <c r="H22" i="20"/>
  <c r="J22" s="1"/>
  <c r="K22" s="1"/>
  <c r="E21" i="12"/>
  <c r="H21" s="1"/>
  <c r="H39" i="1"/>
  <c r="G39"/>
  <c r="H20" i="26"/>
  <c r="I20" s="1"/>
  <c r="H20" i="22"/>
  <c r="I20" s="1"/>
  <c r="G21" i="15"/>
  <c r="AX46" i="5"/>
  <c r="AV46"/>
  <c r="H17" i="26"/>
  <c r="I17" s="1"/>
  <c r="H17" i="22"/>
  <c r="I17" s="1"/>
  <c r="G18" i="15"/>
  <c r="AX63" i="5"/>
  <c r="AV63"/>
  <c r="H18" i="26"/>
  <c r="I18" s="1"/>
  <c r="H18" i="22"/>
  <c r="I18" s="1"/>
  <c r="G19" i="15"/>
  <c r="AX52" i="5"/>
  <c r="AV52"/>
  <c r="H67" i="26"/>
  <c r="I67" s="1"/>
  <c r="H67" i="22"/>
  <c r="I67" s="1"/>
  <c r="G68" i="15"/>
  <c r="AI92" i="11"/>
  <c r="L15" i="3"/>
  <c r="L75" s="1"/>
  <c r="AX51" i="5"/>
  <c r="AV51"/>
  <c r="H19" i="26"/>
  <c r="I19" s="1"/>
  <c r="H19" i="22"/>
  <c r="I19" s="1"/>
  <c r="G20" i="15"/>
  <c r="AI11" i="11"/>
  <c r="F22" i="3"/>
  <c r="F75" s="1"/>
  <c r="AX36" i="5"/>
  <c r="AV36"/>
  <c r="H34" i="26"/>
  <c r="I34" s="1"/>
  <c r="H34" i="22"/>
  <c r="I34" s="1"/>
  <c r="G35" i="15"/>
  <c r="H13" i="26"/>
  <c r="I13" s="1"/>
  <c r="H13" i="22"/>
  <c r="I13" s="1"/>
  <c r="G14" i="15"/>
  <c r="AK77" i="11"/>
  <c r="AJ79"/>
  <c r="AI74" i="12"/>
  <c r="AJ5"/>
  <c r="BA16" i="5"/>
  <c r="AP16"/>
  <c r="D15" i="15" s="1"/>
  <c r="E15" s="1"/>
  <c r="F15" s="1"/>
  <c r="C15" i="2"/>
  <c r="AW16" i="5"/>
  <c r="U77"/>
  <c r="V8"/>
  <c r="AX70"/>
  <c r="AV70"/>
  <c r="H45" i="26"/>
  <c r="I45" s="1"/>
  <c r="H45" i="22"/>
  <c r="I45" s="1"/>
  <c r="G46" i="15"/>
  <c r="AX71" i="5"/>
  <c r="AV71"/>
  <c r="H42" i="26"/>
  <c r="I42" s="1"/>
  <c r="H42" i="22"/>
  <c r="I42" s="1"/>
  <c r="G43" i="15"/>
  <c r="AX68" i="5"/>
  <c r="AV68"/>
  <c r="H43" i="26"/>
  <c r="I43" s="1"/>
  <c r="H43" i="22"/>
  <c r="I43" s="1"/>
  <c r="G44" i="15"/>
  <c r="AK18" i="10"/>
  <c r="AM10"/>
  <c r="AX18" i="5"/>
  <c r="AV18"/>
  <c r="H64" i="26"/>
  <c r="I64" s="1"/>
  <c r="H64" i="22"/>
  <c r="I64" s="1"/>
  <c r="G65" i="15"/>
  <c r="AX23" i="5"/>
  <c r="AV23"/>
  <c r="H65" i="26"/>
  <c r="I65" s="1"/>
  <c r="H65" i="22"/>
  <c r="I65" s="1"/>
  <c r="G66" i="15"/>
  <c r="AX48" i="5"/>
  <c r="AV48"/>
  <c r="H70" i="26"/>
  <c r="I70" s="1"/>
  <c r="H70" i="22"/>
  <c r="I70" s="1"/>
  <c r="G71" i="15"/>
  <c r="AX49" i="5"/>
  <c r="AV49"/>
  <c r="H71" i="26"/>
  <c r="I71" s="1"/>
  <c r="H71" i="22"/>
  <c r="I71" s="1"/>
  <c r="G72" i="15"/>
  <c r="H70" i="24"/>
  <c r="J70" s="1"/>
  <c r="K70" s="1"/>
  <c r="H70" i="20"/>
  <c r="J70" s="1"/>
  <c r="K70" s="1"/>
  <c r="E69" i="12"/>
  <c r="H69" s="1"/>
  <c r="L70" i="19"/>
  <c r="M70"/>
  <c r="C69" i="18"/>
  <c r="I71" i="2"/>
  <c r="H66" i="24"/>
  <c r="J66" s="1"/>
  <c r="K66" s="1"/>
  <c r="H66" i="20"/>
  <c r="J66" s="1"/>
  <c r="K66" s="1"/>
  <c r="E65" i="12"/>
  <c r="H65" s="1"/>
  <c r="L66" i="19"/>
  <c r="M66"/>
  <c r="C65" i="18"/>
  <c r="I67" i="2"/>
  <c r="H62" i="24"/>
  <c r="J62" s="1"/>
  <c r="K62" s="1"/>
  <c r="H62" i="20"/>
  <c r="J62" s="1"/>
  <c r="K62" s="1"/>
  <c r="E61" i="12"/>
  <c r="H61" s="1"/>
  <c r="L62" i="19"/>
  <c r="M62"/>
  <c r="C61" i="18"/>
  <c r="I63" i="2"/>
  <c r="H50" i="24"/>
  <c r="J50" s="1"/>
  <c r="K50" s="1"/>
  <c r="H50" i="20"/>
  <c r="J50" s="1"/>
  <c r="K50" s="1"/>
  <c r="E49" i="12"/>
  <c r="H49" s="1"/>
  <c r="M116" i="19"/>
  <c r="L116"/>
  <c r="C116" i="18"/>
  <c r="H44" i="11"/>
  <c r="M117" i="23"/>
  <c r="L117"/>
  <c r="D116" i="18"/>
  <c r="I44" i="11"/>
  <c r="L50" i="23"/>
  <c r="M50"/>
  <c r="D49" i="18"/>
  <c r="J51" i="2"/>
  <c r="H46" i="25"/>
  <c r="J46" s="1"/>
  <c r="K46" s="1"/>
  <c r="H46" i="21"/>
  <c r="J46" s="1"/>
  <c r="K46" s="1"/>
  <c r="E45" i="13"/>
  <c r="H45" s="1"/>
  <c r="L46" i="23"/>
  <c r="M46"/>
  <c r="D45" i="18"/>
  <c r="J47" i="2"/>
  <c r="H19" i="25"/>
  <c r="J19" s="1"/>
  <c r="K19" s="1"/>
  <c r="H19" i="21"/>
  <c r="J19" s="1"/>
  <c r="K19" s="1"/>
  <c r="E18" i="13"/>
  <c r="H18" s="1"/>
  <c r="M19" i="23"/>
  <c r="L19"/>
  <c r="D18" i="18"/>
  <c r="J20" i="2"/>
  <c r="H15" i="24"/>
  <c r="J15" s="1"/>
  <c r="K15" s="1"/>
  <c r="H15" i="20"/>
  <c r="J15" s="1"/>
  <c r="K15" s="1"/>
  <c r="E14" i="12"/>
  <c r="H14" s="1"/>
  <c r="M15" i="19"/>
  <c r="L15"/>
  <c r="C14" i="18"/>
  <c r="I16" i="2"/>
  <c r="H71" i="24"/>
  <c r="J71" s="1"/>
  <c r="K71" s="1"/>
  <c r="H71" i="20"/>
  <c r="J71" s="1"/>
  <c r="K71" s="1"/>
  <c r="E70" i="12"/>
  <c r="H70" s="1"/>
  <c r="M71" i="19"/>
  <c r="L71"/>
  <c r="C70" i="18"/>
  <c r="I72" i="2"/>
  <c r="H67" i="24"/>
  <c r="J67" s="1"/>
  <c r="K67" s="1"/>
  <c r="H67" i="20"/>
  <c r="J67" s="1"/>
  <c r="K67" s="1"/>
  <c r="E66" i="12"/>
  <c r="H66" s="1"/>
  <c r="M67" i="19"/>
  <c r="L67"/>
  <c r="C66" i="18"/>
  <c r="I68" i="2"/>
  <c r="H63" i="24"/>
  <c r="J63" s="1"/>
  <c r="K63" s="1"/>
  <c r="H63" i="20"/>
  <c r="J63" s="1"/>
  <c r="K63" s="1"/>
  <c r="E62" i="12"/>
  <c r="H62" s="1"/>
  <c r="M63" i="19"/>
  <c r="L63"/>
  <c r="C62" i="18"/>
  <c r="I64" i="2"/>
  <c r="H47" i="24"/>
  <c r="J47" s="1"/>
  <c r="K47" s="1"/>
  <c r="H47" i="20"/>
  <c r="J47" s="1"/>
  <c r="K47" s="1"/>
  <c r="E46" i="12"/>
  <c r="H46" s="1"/>
  <c r="M47" i="19"/>
  <c r="L47"/>
  <c r="C46" i="18"/>
  <c r="I48" i="2"/>
  <c r="H44" i="23"/>
  <c r="J44" s="1"/>
  <c r="K44" s="1"/>
  <c r="H44" i="19"/>
  <c r="J44" s="1"/>
  <c r="K44" s="1"/>
  <c r="E21" i="10"/>
  <c r="H44" i="25"/>
  <c r="J44" s="1"/>
  <c r="K44" s="1"/>
  <c r="H44" i="21"/>
  <c r="J44" s="1"/>
  <c r="K44" s="1"/>
  <c r="E43" i="13"/>
  <c r="H43" s="1"/>
  <c r="H18" i="25"/>
  <c r="J18" s="1"/>
  <c r="K18" s="1"/>
  <c r="H18" i="21"/>
  <c r="J18" s="1"/>
  <c r="K18" s="1"/>
  <c r="E17" i="13"/>
  <c r="H17" s="1"/>
  <c r="L18" i="23"/>
  <c r="M18"/>
  <c r="D17" i="18"/>
  <c r="J19" i="2"/>
  <c r="H14" i="23"/>
  <c r="J14" s="1"/>
  <c r="K14" s="1"/>
  <c r="H14" i="19"/>
  <c r="J14" s="1"/>
  <c r="K14" s="1"/>
  <c r="E26" i="10"/>
  <c r="H26" s="1"/>
  <c r="H14" i="24"/>
  <c r="J14" s="1"/>
  <c r="K14" s="1"/>
  <c r="H14" i="20"/>
  <c r="J14" s="1"/>
  <c r="K14" s="1"/>
  <c r="E13" i="12"/>
  <c r="H13" s="1"/>
  <c r="AI24" i="11"/>
  <c r="AH28"/>
  <c r="S29" i="15"/>
  <c r="I29"/>
  <c r="J29" s="1"/>
  <c r="V29" s="1"/>
  <c r="J28" i="26"/>
  <c r="K28"/>
  <c r="K33" i="22"/>
  <c r="J33"/>
  <c r="S59" i="15"/>
  <c r="I59"/>
  <c r="J59" s="1"/>
  <c r="V59" s="1"/>
  <c r="J58" i="26"/>
  <c r="K58"/>
  <c r="K23" i="22"/>
  <c r="J23"/>
  <c r="S52" i="15"/>
  <c r="I52"/>
  <c r="J52" s="1"/>
  <c r="V52" s="1"/>
  <c r="K51" i="26"/>
  <c r="J51"/>
  <c r="K8" i="22"/>
  <c r="J8"/>
  <c r="S25" i="15"/>
  <c r="I25"/>
  <c r="J25" s="1"/>
  <c r="V25" s="1"/>
  <c r="J24" i="26"/>
  <c r="K24"/>
  <c r="K40" i="22"/>
  <c r="J40"/>
  <c r="S38" i="15"/>
  <c r="I38"/>
  <c r="J38" s="1"/>
  <c r="V38" s="1"/>
  <c r="K37" i="26"/>
  <c r="J37"/>
  <c r="K57" i="22"/>
  <c r="J57"/>
  <c r="S39" i="15"/>
  <c r="I39"/>
  <c r="J39" s="1"/>
  <c r="V39" s="1"/>
  <c r="J38" i="26"/>
  <c r="K38"/>
  <c r="K41" i="22"/>
  <c r="J41"/>
  <c r="H73" i="24"/>
  <c r="J73" s="1"/>
  <c r="K73" s="1"/>
  <c r="H73" i="20"/>
  <c r="J73" s="1"/>
  <c r="K73" s="1"/>
  <c r="E72" i="12"/>
  <c r="H72" s="1"/>
  <c r="H104" i="23"/>
  <c r="J104" s="1"/>
  <c r="K104" s="1"/>
  <c r="H103" i="19"/>
  <c r="J103" s="1"/>
  <c r="K103" s="1"/>
  <c r="D9" i="11"/>
  <c r="G9" s="1"/>
  <c r="M73" i="23"/>
  <c r="L73"/>
  <c r="D72" i="18"/>
  <c r="J74" i="2"/>
  <c r="H57" i="24"/>
  <c r="J57" s="1"/>
  <c r="K57" s="1"/>
  <c r="H57" i="20"/>
  <c r="J57" s="1"/>
  <c r="K57" s="1"/>
  <c r="E56" i="12"/>
  <c r="H56" s="1"/>
  <c r="M57" i="23"/>
  <c r="L57"/>
  <c r="D56" i="18"/>
  <c r="H53" i="25"/>
  <c r="J53" s="1"/>
  <c r="K53" s="1"/>
  <c r="H53" i="21"/>
  <c r="J53" s="1"/>
  <c r="K53" s="1"/>
  <c r="E52" i="13"/>
  <c r="H52" s="1"/>
  <c r="M117" i="19"/>
  <c r="L117"/>
  <c r="C117" i="18"/>
  <c r="H45" i="11"/>
  <c r="L118" i="23"/>
  <c r="M118"/>
  <c r="D117" i="18"/>
  <c r="I45" i="11"/>
  <c r="H39" i="25"/>
  <c r="J39" s="1"/>
  <c r="K39" s="1"/>
  <c r="H39" i="21"/>
  <c r="J39" s="1"/>
  <c r="K39" s="1"/>
  <c r="E38" i="13"/>
  <c r="H38" s="1"/>
  <c r="M39" i="23"/>
  <c r="L39"/>
  <c r="D38" i="18"/>
  <c r="J40" i="2"/>
  <c r="H35" i="25"/>
  <c r="J35" s="1"/>
  <c r="K35" s="1"/>
  <c r="H35" i="21"/>
  <c r="J35" s="1"/>
  <c r="K35" s="1"/>
  <c r="E34" i="13"/>
  <c r="H34" s="1"/>
  <c r="M35" i="23"/>
  <c r="L35"/>
  <c r="D34" i="18"/>
  <c r="J36" i="2"/>
  <c r="H31" i="25"/>
  <c r="J31" s="1"/>
  <c r="K31" s="1"/>
  <c r="H31" i="21"/>
  <c r="J31" s="1"/>
  <c r="K31" s="1"/>
  <c r="E30" i="13"/>
  <c r="H30" s="1"/>
  <c r="M31" i="19"/>
  <c r="L31"/>
  <c r="C30" i="18"/>
  <c r="L126" i="19"/>
  <c r="M126"/>
  <c r="C129" i="18"/>
  <c r="H78" i="11"/>
  <c r="M123" i="23"/>
  <c r="L123"/>
  <c r="D122" i="18"/>
  <c r="I61" i="11"/>
  <c r="H27" i="24"/>
  <c r="J27" s="1"/>
  <c r="K27" s="1"/>
  <c r="H27" i="20"/>
  <c r="J27" s="1"/>
  <c r="K27" s="1"/>
  <c r="E26" i="12"/>
  <c r="H26" s="1"/>
  <c r="M27" i="19"/>
  <c r="L27"/>
  <c r="C26" i="18"/>
  <c r="I28" i="2"/>
  <c r="H23" i="24"/>
  <c r="J23" s="1"/>
  <c r="K23" s="1"/>
  <c r="H23" i="20"/>
  <c r="J23" s="1"/>
  <c r="K23" s="1"/>
  <c r="E22" i="12"/>
  <c r="H22" s="1"/>
  <c r="M23" i="19"/>
  <c r="L23"/>
  <c r="C22" i="18"/>
  <c r="I24" i="2"/>
  <c r="H12" i="24"/>
  <c r="J12" s="1"/>
  <c r="K12" s="1"/>
  <c r="H12" i="20"/>
  <c r="J12" s="1"/>
  <c r="K12" s="1"/>
  <c r="E11" i="12"/>
  <c r="H11" s="1"/>
  <c r="L12" i="19"/>
  <c r="M12"/>
  <c r="C11" i="18"/>
  <c r="I13" i="2"/>
  <c r="H8" i="24"/>
  <c r="J8" s="1"/>
  <c r="K8" s="1"/>
  <c r="H8" i="20"/>
  <c r="J8" s="1"/>
  <c r="K8" s="1"/>
  <c r="E7" i="12"/>
  <c r="H7" s="1"/>
  <c r="L8" i="19"/>
  <c r="M8"/>
  <c r="C7" i="18"/>
  <c r="I9" i="2"/>
  <c r="S32" i="15"/>
  <c r="I32"/>
  <c r="J32" s="1"/>
  <c r="V32" s="1"/>
  <c r="K31" i="26"/>
  <c r="J31"/>
  <c r="K10" i="22"/>
  <c r="J10"/>
  <c r="S8" i="15"/>
  <c r="I8"/>
  <c r="J8" s="1"/>
  <c r="V8" s="1"/>
  <c r="K7" i="26"/>
  <c r="J7"/>
  <c r="K59" i="22"/>
  <c r="J59"/>
  <c r="S33" i="15"/>
  <c r="I33"/>
  <c r="J33" s="1"/>
  <c r="V33" s="1"/>
  <c r="J32" i="26"/>
  <c r="K32"/>
  <c r="K11" i="22"/>
  <c r="J11"/>
  <c r="AX75" i="5"/>
  <c r="AV75"/>
  <c r="H73" i="26"/>
  <c r="I73" s="1"/>
  <c r="H73" i="22"/>
  <c r="I73" s="1"/>
  <c r="G74" i="15"/>
  <c r="H39" i="26"/>
  <c r="I39" s="1"/>
  <c r="H39" i="22"/>
  <c r="I39" s="1"/>
  <c r="G40" i="15"/>
  <c r="AX11" i="5"/>
  <c r="AV11"/>
  <c r="H30" i="26"/>
  <c r="I30" s="1"/>
  <c r="H30" i="22"/>
  <c r="I30" s="1"/>
  <c r="G31" i="15"/>
  <c r="H40" i="25"/>
  <c r="J40" s="1"/>
  <c r="K40" s="1"/>
  <c r="H40" i="21"/>
  <c r="J40" s="1"/>
  <c r="K40" s="1"/>
  <c r="E39" i="13"/>
  <c r="H39" s="1"/>
  <c r="L40" i="23"/>
  <c r="M40"/>
  <c r="D39" i="18"/>
  <c r="J41" i="2"/>
  <c r="H32" i="25"/>
  <c r="J32" s="1"/>
  <c r="K32" s="1"/>
  <c r="H32" i="21"/>
  <c r="J32" s="1"/>
  <c r="K32" s="1"/>
  <c r="E31" i="13"/>
  <c r="H31" s="1"/>
  <c r="L32" i="23"/>
  <c r="M32"/>
  <c r="D31" i="18"/>
  <c r="J33" i="2"/>
  <c r="H24" i="25"/>
  <c r="J24" s="1"/>
  <c r="K24" s="1"/>
  <c r="H24" i="21"/>
  <c r="J24" s="1"/>
  <c r="K24" s="1"/>
  <c r="E23" i="13"/>
  <c r="H23" s="1"/>
  <c r="L24" i="23"/>
  <c r="M24"/>
  <c r="D23" i="18"/>
  <c r="J25" i="2"/>
  <c r="H7" i="25"/>
  <c r="J7" s="1"/>
  <c r="K7" s="1"/>
  <c r="H7" i="21"/>
  <c r="J7" s="1"/>
  <c r="K7" s="1"/>
  <c r="E6" i="13"/>
  <c r="H6" s="1"/>
  <c r="M7" i="23"/>
  <c r="L7"/>
  <c r="D6" i="18"/>
  <c r="J8" i="2"/>
  <c r="H114" i="23"/>
  <c r="J114" s="1"/>
  <c r="K114" s="1"/>
  <c r="H113" i="19"/>
  <c r="J113" s="1"/>
  <c r="K113" s="1"/>
  <c r="D41" i="11"/>
  <c r="H41" i="24"/>
  <c r="J41" s="1"/>
  <c r="K41" s="1"/>
  <c r="H41" i="20"/>
  <c r="J41" s="1"/>
  <c r="K41" s="1"/>
  <c r="E40" i="12"/>
  <c r="H40" s="1"/>
  <c r="H122" i="23"/>
  <c r="J122" s="1"/>
  <c r="K122" s="1"/>
  <c r="H121" i="19"/>
  <c r="J121" s="1"/>
  <c r="K121" s="1"/>
  <c r="D60" i="11"/>
  <c r="H15" i="26"/>
  <c r="I15" s="1"/>
  <c r="H15" i="22"/>
  <c r="I15" s="1"/>
  <c r="G16" i="15"/>
  <c r="AX50" i="5"/>
  <c r="AV50"/>
  <c r="H62" i="26"/>
  <c r="I62" s="1"/>
  <c r="H62" i="22"/>
  <c r="I62" s="1"/>
  <c r="G63" i="15"/>
  <c r="AX65" i="5"/>
  <c r="AV65"/>
  <c r="AX29"/>
  <c r="AV29"/>
  <c r="H27" i="26"/>
  <c r="I27" s="1"/>
  <c r="H27" i="22"/>
  <c r="I27" s="1"/>
  <c r="G28" i="15"/>
  <c r="AQ63" i="5"/>
  <c r="AQ36"/>
  <c r="AG78" i="12"/>
  <c r="AQ70" i="5"/>
  <c r="AQ68"/>
  <c r="AQ23"/>
  <c r="AQ48"/>
  <c r="K44" i="11"/>
  <c r="K7"/>
  <c r="K45"/>
  <c r="AQ75" i="5"/>
  <c r="AQ11"/>
  <c r="AQ50"/>
  <c r="AQ29"/>
  <c r="H103" i="23"/>
  <c r="J103" s="1"/>
  <c r="K103" s="1"/>
  <c r="H102" i="19"/>
  <c r="J102" s="1"/>
  <c r="K102" s="1"/>
  <c r="I73" i="2" s="1"/>
  <c r="D8" i="11"/>
  <c r="G8" s="1"/>
  <c r="H72" i="25"/>
  <c r="J72" s="1"/>
  <c r="K72" s="1"/>
  <c r="H72" i="21"/>
  <c r="J72" s="1"/>
  <c r="K72" s="1"/>
  <c r="E71" i="13"/>
  <c r="H71" s="1"/>
  <c r="L72" i="23"/>
  <c r="M72"/>
  <c r="D71" i="18"/>
  <c r="J73" i="2"/>
  <c r="H60" i="25"/>
  <c r="J60" s="1"/>
  <c r="K60" s="1"/>
  <c r="H60" i="21"/>
  <c r="J60" s="1"/>
  <c r="K60" s="1"/>
  <c r="E59" i="13"/>
  <c r="H59" s="1"/>
  <c r="L60" i="23"/>
  <c r="M60"/>
  <c r="D59" i="18"/>
  <c r="J61" i="2"/>
  <c r="H56" i="25"/>
  <c r="J56" s="1"/>
  <c r="K56" s="1"/>
  <c r="H56" i="21"/>
  <c r="J56" s="1"/>
  <c r="K56" s="1"/>
  <c r="E55" i="13"/>
  <c r="H55" s="1"/>
  <c r="L56" i="23"/>
  <c r="M56"/>
  <c r="D55" i="18"/>
  <c r="J57" i="2"/>
  <c r="H52" i="25"/>
  <c r="J52" s="1"/>
  <c r="K52" s="1"/>
  <c r="H52" i="21"/>
  <c r="J52" s="1"/>
  <c r="K52" s="1"/>
  <c r="E51" i="13"/>
  <c r="H51" s="1"/>
  <c r="L52" i="23"/>
  <c r="M52"/>
  <c r="D51" i="18"/>
  <c r="J53" i="2"/>
  <c r="H38" i="25"/>
  <c r="J38" s="1"/>
  <c r="K38" s="1"/>
  <c r="H38" i="21"/>
  <c r="J38" s="1"/>
  <c r="K38" s="1"/>
  <c r="E37" i="13"/>
  <c r="H37" s="1"/>
  <c r="L38" i="23"/>
  <c r="M38"/>
  <c r="D37" i="18"/>
  <c r="J39" i="2"/>
  <c r="H34" i="25"/>
  <c r="J34" s="1"/>
  <c r="K34" s="1"/>
  <c r="H34" i="21"/>
  <c r="J34" s="1"/>
  <c r="K34" s="1"/>
  <c r="E33" i="13"/>
  <c r="H33" s="1"/>
  <c r="L34" i="23"/>
  <c r="M34"/>
  <c r="D33" i="18"/>
  <c r="J35" i="2"/>
  <c r="H30" i="25"/>
  <c r="J30" s="1"/>
  <c r="K30" s="1"/>
  <c r="H30" i="21"/>
  <c r="J30" s="1"/>
  <c r="K30" s="1"/>
  <c r="E29" i="13"/>
  <c r="H29" s="1"/>
  <c r="L30" i="23"/>
  <c r="M30"/>
  <c r="D29" i="18"/>
  <c r="J31" i="2"/>
  <c r="N31" s="1"/>
  <c r="P31" s="1"/>
  <c r="H26" i="25"/>
  <c r="J26" s="1"/>
  <c r="K26" s="1"/>
  <c r="H26" i="21"/>
  <c r="J26" s="1"/>
  <c r="K26" s="1"/>
  <c r="E25" i="13"/>
  <c r="H25" s="1"/>
  <c r="L26" i="23"/>
  <c r="M26"/>
  <c r="D25" i="18"/>
  <c r="J27" i="2"/>
  <c r="H13" i="25"/>
  <c r="J13" s="1"/>
  <c r="K13" s="1"/>
  <c r="H13" i="21"/>
  <c r="J13" s="1"/>
  <c r="K13" s="1"/>
  <c r="E12" i="13"/>
  <c r="H12" s="1"/>
  <c r="M13" i="23"/>
  <c r="L13"/>
  <c r="D12" i="18"/>
  <c r="J14" i="2"/>
  <c r="N14" s="1"/>
  <c r="P14" s="1"/>
  <c r="H9" i="25"/>
  <c r="J9" s="1"/>
  <c r="K9" s="1"/>
  <c r="H9" i="21"/>
  <c r="J9" s="1"/>
  <c r="K9" s="1"/>
  <c r="E8" i="13"/>
  <c r="H8" s="1"/>
  <c r="M9" i="23"/>
  <c r="L9"/>
  <c r="D8" i="18"/>
  <c r="J10" i="2"/>
  <c r="H59" i="25"/>
  <c r="J59" s="1"/>
  <c r="K59" s="1"/>
  <c r="H59" i="21"/>
  <c r="J59" s="1"/>
  <c r="K59" s="1"/>
  <c r="E58" i="13"/>
  <c r="H58" s="1"/>
  <c r="M59" i="23"/>
  <c r="L59"/>
  <c r="D58" i="18"/>
  <c r="J60" i="2"/>
  <c r="H55" i="25"/>
  <c r="J55" s="1"/>
  <c r="K55" s="1"/>
  <c r="H55" i="21"/>
  <c r="J55" s="1"/>
  <c r="K55" s="1"/>
  <c r="E54" i="13"/>
  <c r="H54" s="1"/>
  <c r="M55" i="23"/>
  <c r="L55"/>
  <c r="D54" i="18"/>
  <c r="J56" i="2"/>
  <c r="H138" i="23"/>
  <c r="J138" s="1"/>
  <c r="K138" s="1"/>
  <c r="H134" i="19"/>
  <c r="J134" s="1"/>
  <c r="K134" s="1"/>
  <c r="E35" i="10"/>
  <c r="H35" s="1"/>
  <c r="H51" i="25"/>
  <c r="J51" s="1"/>
  <c r="K51" s="1"/>
  <c r="H51" i="21"/>
  <c r="J51" s="1"/>
  <c r="K51" s="1"/>
  <c r="E50" i="13"/>
  <c r="H50" s="1"/>
  <c r="H37" i="25"/>
  <c r="J37" s="1"/>
  <c r="K37" s="1"/>
  <c r="H37" i="21"/>
  <c r="J37" s="1"/>
  <c r="K37" s="1"/>
  <c r="E36" i="13"/>
  <c r="H36" s="1"/>
  <c r="M37" i="23"/>
  <c r="L37"/>
  <c r="D36" i="18"/>
  <c r="J38" i="2"/>
  <c r="H33" i="24"/>
  <c r="J33" s="1"/>
  <c r="K33" s="1"/>
  <c r="H33" i="20"/>
  <c r="J33" s="1"/>
  <c r="K33" s="1"/>
  <c r="E32" i="12"/>
  <c r="H32" s="1"/>
  <c r="M33" i="19"/>
  <c r="L33"/>
  <c r="C32" i="18"/>
  <c r="E32" s="1"/>
  <c r="I34" i="2"/>
  <c r="H29" i="24"/>
  <c r="J29" s="1"/>
  <c r="K29" s="1"/>
  <c r="H29" i="20"/>
  <c r="J29" s="1"/>
  <c r="K29" s="1"/>
  <c r="E28" i="12"/>
  <c r="H28" s="1"/>
  <c r="M29" i="19"/>
  <c r="L29"/>
  <c r="C28" i="18"/>
  <c r="E28" s="1"/>
  <c r="I30" i="2"/>
  <c r="H25" i="24"/>
  <c r="J25" s="1"/>
  <c r="K25" s="1"/>
  <c r="H25" i="20"/>
  <c r="J25" s="1"/>
  <c r="K25" s="1"/>
  <c r="E24" i="12"/>
  <c r="H24" s="1"/>
  <c r="M25" i="19"/>
  <c r="L25"/>
  <c r="C24" i="18"/>
  <c r="E24" s="1"/>
  <c r="I26" i="2"/>
  <c r="H10" i="24"/>
  <c r="J10" s="1"/>
  <c r="K10" s="1"/>
  <c r="H10" i="20"/>
  <c r="J10" s="1"/>
  <c r="K10" s="1"/>
  <c r="E9" i="12"/>
  <c r="H9" s="1"/>
  <c r="L10" i="19"/>
  <c r="M10"/>
  <c r="C9" i="18"/>
  <c r="E9" s="1"/>
  <c r="I11" i="2"/>
  <c r="AI65" i="11"/>
  <c r="I41" i="3"/>
  <c r="I75" s="1"/>
  <c r="AI76" i="12"/>
  <c r="S61" i="15"/>
  <c r="I61"/>
  <c r="J61" s="1"/>
  <c r="V61" s="1"/>
  <c r="J60" i="26"/>
  <c r="K60"/>
  <c r="K26" i="22"/>
  <c r="J26"/>
  <c r="S53" i="15"/>
  <c r="I53"/>
  <c r="J53" s="1"/>
  <c r="V53" s="1"/>
  <c r="J52" i="26"/>
  <c r="K52"/>
  <c r="K53" i="22"/>
  <c r="J53"/>
  <c r="S57" i="15"/>
  <c r="I57"/>
  <c r="J57" s="1"/>
  <c r="V57" s="1"/>
  <c r="J56" i="26"/>
  <c r="K56"/>
  <c r="K54" i="22"/>
  <c r="J54"/>
  <c r="S36" i="15"/>
  <c r="I36"/>
  <c r="J36" s="1"/>
  <c r="V36" s="1"/>
  <c r="K35" i="26"/>
  <c r="J35"/>
  <c r="H68" i="25"/>
  <c r="J68" s="1"/>
  <c r="K68" s="1"/>
  <c r="H68" i="21"/>
  <c r="J68" s="1"/>
  <c r="K68" s="1"/>
  <c r="E67" i="13"/>
  <c r="H67" s="1"/>
  <c r="L68" i="23"/>
  <c r="M68"/>
  <c r="D67" i="18"/>
  <c r="J69" i="2"/>
  <c r="H64" i="25"/>
  <c r="J64" s="1"/>
  <c r="K64" s="1"/>
  <c r="H64" i="21"/>
  <c r="J64" s="1"/>
  <c r="K64" s="1"/>
  <c r="E63" i="13"/>
  <c r="H63" s="1"/>
  <c r="L64" i="23"/>
  <c r="M64"/>
  <c r="D63" i="18"/>
  <c r="J65" i="2"/>
  <c r="N65" s="1"/>
  <c r="P65" s="1"/>
  <c r="H48" i="25"/>
  <c r="J48" s="1"/>
  <c r="K48" s="1"/>
  <c r="H48" i="21"/>
  <c r="J48" s="1"/>
  <c r="K48" s="1"/>
  <c r="E47" i="13"/>
  <c r="H47" s="1"/>
  <c r="L48" i="23"/>
  <c r="M48"/>
  <c r="D47" i="18"/>
  <c r="J49" i="2"/>
  <c r="H43" i="25"/>
  <c r="J43" s="1"/>
  <c r="K43" s="1"/>
  <c r="H43" i="21"/>
  <c r="J43" s="1"/>
  <c r="K43" s="1"/>
  <c r="E42" i="13"/>
  <c r="H42" s="1"/>
  <c r="M43" i="19"/>
  <c r="L43"/>
  <c r="C42" i="18"/>
  <c r="E42" s="1"/>
  <c r="I44" i="2"/>
  <c r="K44" s="1"/>
  <c r="M124" i="23"/>
  <c r="L124"/>
  <c r="D123" i="18"/>
  <c r="E123" s="1"/>
  <c r="I62" i="11"/>
  <c r="J62" s="1"/>
  <c r="H21" i="25"/>
  <c r="J21" s="1"/>
  <c r="K21" s="1"/>
  <c r="H21" i="21"/>
  <c r="J21" s="1"/>
  <c r="K21" s="1"/>
  <c r="E20" i="13"/>
  <c r="H20" s="1"/>
  <c r="M21" i="23"/>
  <c r="L21"/>
  <c r="D20" i="18"/>
  <c r="J22" i="2"/>
  <c r="H17" i="25"/>
  <c r="J17" s="1"/>
  <c r="K17" s="1"/>
  <c r="H17" i="21"/>
  <c r="J17" s="1"/>
  <c r="K17" s="1"/>
  <c r="E16" i="13"/>
  <c r="H16" s="1"/>
  <c r="M17" i="23"/>
  <c r="L17"/>
  <c r="D16" i="18"/>
  <c r="J18" i="2"/>
  <c r="N18" s="1"/>
  <c r="P18" s="1"/>
  <c r="H69" i="25"/>
  <c r="J69" s="1"/>
  <c r="K69" s="1"/>
  <c r="H69" i="21"/>
  <c r="J69" s="1"/>
  <c r="K69" s="1"/>
  <c r="E68" i="13"/>
  <c r="H68" s="1"/>
  <c r="M69" i="23"/>
  <c r="L69"/>
  <c r="D68" i="18"/>
  <c r="J70" i="2"/>
  <c r="N70" s="1"/>
  <c r="P70" s="1"/>
  <c r="H65" i="25"/>
  <c r="J65" s="1"/>
  <c r="K65" s="1"/>
  <c r="H65" i="21"/>
  <c r="J65" s="1"/>
  <c r="K65" s="1"/>
  <c r="E64" i="13"/>
  <c r="H64" s="1"/>
  <c r="M65" i="23"/>
  <c r="L65"/>
  <c r="D64" i="18"/>
  <c r="J66" i="2"/>
  <c r="H61" i="25"/>
  <c r="J61" s="1"/>
  <c r="K61" s="1"/>
  <c r="H61" i="21"/>
  <c r="J61" s="1"/>
  <c r="K61" s="1"/>
  <c r="E60" i="13"/>
  <c r="H60" s="1"/>
  <c r="M61" i="19"/>
  <c r="L61"/>
  <c r="C60" i="18"/>
  <c r="E60" s="1"/>
  <c r="I62" i="2"/>
  <c r="H49" i="25"/>
  <c r="J49" s="1"/>
  <c r="K49" s="1"/>
  <c r="H49" i="21"/>
  <c r="J49" s="1"/>
  <c r="K49" s="1"/>
  <c r="E48" i="13"/>
  <c r="H48" s="1"/>
  <c r="M115" i="19"/>
  <c r="L115"/>
  <c r="C115" i="18"/>
  <c r="H43" i="11"/>
  <c r="L116" i="23"/>
  <c r="M116"/>
  <c r="D115" i="18"/>
  <c r="I43" i="11"/>
  <c r="H45" i="25"/>
  <c r="J45" s="1"/>
  <c r="K45" s="1"/>
  <c r="H45" i="21"/>
  <c r="J45" s="1"/>
  <c r="K45" s="1"/>
  <c r="E44" i="13"/>
  <c r="H44" s="1"/>
  <c r="M45" i="23"/>
  <c r="L45"/>
  <c r="D44" i="18"/>
  <c r="J46" i="2"/>
  <c r="H42" i="24"/>
  <c r="J42" s="1"/>
  <c r="K42" s="1"/>
  <c r="H42" i="20"/>
  <c r="J42" s="1"/>
  <c r="K42" s="1"/>
  <c r="E41" i="12"/>
  <c r="H41" s="1"/>
  <c r="L42" i="19"/>
  <c r="M42"/>
  <c r="C41" i="18"/>
  <c r="E41" s="1"/>
  <c r="I43" i="2"/>
  <c r="H20" i="24"/>
  <c r="J20" s="1"/>
  <c r="K20" s="1"/>
  <c r="H20" i="20"/>
  <c r="J20" s="1"/>
  <c r="K20" s="1"/>
  <c r="E19" i="12"/>
  <c r="H19" s="1"/>
  <c r="L20" i="19"/>
  <c r="M20"/>
  <c r="C19" i="18"/>
  <c r="E19" s="1"/>
  <c r="I21" i="2"/>
  <c r="K21" s="1"/>
  <c r="H16" i="24"/>
  <c r="J16" s="1"/>
  <c r="K16" s="1"/>
  <c r="H16" i="20"/>
  <c r="J16" s="1"/>
  <c r="K16" s="1"/>
  <c r="E15" i="12"/>
  <c r="H15" s="1"/>
  <c r="L16" i="19"/>
  <c r="M16"/>
  <c r="C15" i="18"/>
  <c r="E15" s="1"/>
  <c r="I17" i="2"/>
  <c r="K17" s="1"/>
  <c r="S26" i="15"/>
  <c r="I26"/>
  <c r="J26" s="1"/>
  <c r="V26" s="1"/>
  <c r="K25" i="26"/>
  <c r="J25"/>
  <c r="K29" i="22"/>
  <c r="J29"/>
  <c r="S23" i="15"/>
  <c r="I23"/>
  <c r="J23" s="1"/>
  <c r="V23" s="1"/>
  <c r="J22" i="26"/>
  <c r="K22"/>
  <c r="K55" i="22"/>
  <c r="J55"/>
  <c r="H105" i="23"/>
  <c r="J105" s="1"/>
  <c r="K105" s="1"/>
  <c r="J75" i="2" s="1"/>
  <c r="H104" i="19"/>
  <c r="J104" s="1"/>
  <c r="K104" s="1"/>
  <c r="I75" i="2" s="1"/>
  <c r="D10" i="11"/>
  <c r="G10" s="1"/>
  <c r="H74" i="25"/>
  <c r="J74" s="1"/>
  <c r="K74" s="1"/>
  <c r="H74" i="21"/>
  <c r="J74" s="1"/>
  <c r="K74" s="1"/>
  <c r="E73" i="13"/>
  <c r="H73" s="1"/>
  <c r="L74" i="23"/>
  <c r="M74"/>
  <c r="D73" i="18"/>
  <c r="H58" i="25"/>
  <c r="J58" s="1"/>
  <c r="K58" s="1"/>
  <c r="H58" i="21"/>
  <c r="J58" s="1"/>
  <c r="K58" s="1"/>
  <c r="E57" i="13"/>
  <c r="H57" s="1"/>
  <c r="L58" i="23"/>
  <c r="M58"/>
  <c r="D57" i="18"/>
  <c r="J59" i="2"/>
  <c r="H54" i="25"/>
  <c r="J54" s="1"/>
  <c r="K54" s="1"/>
  <c r="H54" i="21"/>
  <c r="J54" s="1"/>
  <c r="K54" s="1"/>
  <c r="E53" i="13"/>
  <c r="H53" s="1"/>
  <c r="L54" i="23"/>
  <c r="M54"/>
  <c r="D53" i="18"/>
  <c r="J55" i="2"/>
  <c r="H36" i="24"/>
  <c r="J36" s="1"/>
  <c r="K36" s="1"/>
  <c r="H36" i="20"/>
  <c r="J36" s="1"/>
  <c r="K36" s="1"/>
  <c r="E35" i="12"/>
  <c r="H35" s="1"/>
  <c r="L36" i="19"/>
  <c r="M36"/>
  <c r="C35" i="18"/>
  <c r="E35" s="1"/>
  <c r="I37" i="2"/>
  <c r="H28" i="24"/>
  <c r="J28" s="1"/>
  <c r="K28" s="1"/>
  <c r="H28" i="20"/>
  <c r="J28" s="1"/>
  <c r="K28" s="1"/>
  <c r="E27" i="12"/>
  <c r="H27" s="1"/>
  <c r="L28" i="19"/>
  <c r="M28"/>
  <c r="C27" i="18"/>
  <c r="E27" s="1"/>
  <c r="I29" i="2"/>
  <c r="H11" i="24"/>
  <c r="J11" s="1"/>
  <c r="K11" s="1"/>
  <c r="H11" i="20"/>
  <c r="J11" s="1"/>
  <c r="K11" s="1"/>
  <c r="E10" i="12"/>
  <c r="H10" s="1"/>
  <c r="M11" i="19"/>
  <c r="L11"/>
  <c r="C10" i="18"/>
  <c r="E10" s="1"/>
  <c r="I12" i="2"/>
  <c r="H199" i="23"/>
  <c r="J199" s="1"/>
  <c r="K199" s="1"/>
  <c r="H195" i="19"/>
  <c r="J195" s="1"/>
  <c r="K195" s="1"/>
  <c r="E14" i="10"/>
  <c r="H14" s="1"/>
  <c r="H22" i="23"/>
  <c r="J22" s="1"/>
  <c r="K22" s="1"/>
  <c r="H22" i="19"/>
  <c r="J22" s="1"/>
  <c r="K22" s="1"/>
  <c r="E7" i="10"/>
  <c r="H7" s="1"/>
  <c r="H196" i="23"/>
  <c r="J196" s="1"/>
  <c r="K196" s="1"/>
  <c r="H192" i="19"/>
  <c r="J192" s="1"/>
  <c r="K192" s="1"/>
  <c r="E11" i="10"/>
  <c r="H11" s="1"/>
  <c r="H198" i="23"/>
  <c r="J198" s="1"/>
  <c r="K198" s="1"/>
  <c r="H194" i="19"/>
  <c r="J194" s="1"/>
  <c r="K194" s="1"/>
  <c r="E13" i="10"/>
  <c r="H13" s="1"/>
  <c r="H101" i="23"/>
  <c r="J101" s="1"/>
  <c r="K101" s="1"/>
  <c r="H101" i="19"/>
  <c r="J101" s="1"/>
  <c r="K101" s="1"/>
  <c r="D6" i="11"/>
  <c r="H22" i="25"/>
  <c r="J22" s="1"/>
  <c r="K22" s="1"/>
  <c r="H22" i="21"/>
  <c r="J22" s="1"/>
  <c r="K22" s="1"/>
  <c r="E21" i="13"/>
  <c r="H21" s="1"/>
  <c r="AX22" i="5"/>
  <c r="AV22"/>
  <c r="H44" i="26"/>
  <c r="I44" s="1"/>
  <c r="H44" i="22"/>
  <c r="I44" s="1"/>
  <c r="G45" i="15"/>
  <c r="AX19" i="5"/>
  <c r="AV19"/>
  <c r="H61" i="26"/>
  <c r="I61" s="1"/>
  <c r="H61" i="22"/>
  <c r="I61" s="1"/>
  <c r="G62" i="15"/>
  <c r="AX20" i="5"/>
  <c r="AV20"/>
  <c r="H50" i="26"/>
  <c r="I50" s="1"/>
  <c r="H50" i="22"/>
  <c r="I50" s="1"/>
  <c r="G51" i="15"/>
  <c r="AX69" i="5"/>
  <c r="AV69"/>
  <c r="H49" i="26"/>
  <c r="I49" s="1"/>
  <c r="H49" i="22"/>
  <c r="I49" s="1"/>
  <c r="G50" i="15"/>
  <c r="AX21" i="5"/>
  <c r="AV21"/>
  <c r="AX15"/>
  <c r="AV15"/>
  <c r="AI74" i="13"/>
  <c r="AJ5"/>
  <c r="Z77" i="5"/>
  <c r="AC8"/>
  <c r="X77"/>
  <c r="E27" i="1"/>
  <c r="W77" i="5"/>
  <c r="G101" i="1" s="1"/>
  <c r="H68" i="26"/>
  <c r="I68" s="1"/>
  <c r="H68" i="22"/>
  <c r="I68" s="1"/>
  <c r="G69" i="15"/>
  <c r="AX47" i="5"/>
  <c r="AV47"/>
  <c r="H69" i="26"/>
  <c r="I69" s="1"/>
  <c r="H69" i="22"/>
  <c r="I69" s="1"/>
  <c r="G70" i="15"/>
  <c r="AX44" i="5"/>
  <c r="AV44"/>
  <c r="H66" i="26"/>
  <c r="I66" s="1"/>
  <c r="H66" i="22"/>
  <c r="I66" s="1"/>
  <c r="G67" i="15"/>
  <c r="AX45" i="5"/>
  <c r="AV45"/>
  <c r="AM29" i="10"/>
  <c r="AK30"/>
  <c r="H16" i="26"/>
  <c r="I16" s="1"/>
  <c r="H16" i="22"/>
  <c r="I16" s="1"/>
  <c r="G17" i="15"/>
  <c r="AX66" i="5"/>
  <c r="AV66"/>
  <c r="H21" i="26"/>
  <c r="I21" s="1"/>
  <c r="H21" i="22"/>
  <c r="I21" s="1"/>
  <c r="G22" i="15"/>
  <c r="AX67" i="5"/>
  <c r="AV67"/>
  <c r="H46" i="26"/>
  <c r="I46" s="1"/>
  <c r="H46" i="22"/>
  <c r="I46" s="1"/>
  <c r="G47" i="15"/>
  <c r="AX72" i="5"/>
  <c r="AV72"/>
  <c r="H47" i="26"/>
  <c r="I47" s="1"/>
  <c r="H47" i="22"/>
  <c r="I47" s="1"/>
  <c r="G48" i="15"/>
  <c r="AX73" i="5"/>
  <c r="AV73"/>
  <c r="H70" i="25"/>
  <c r="J70" s="1"/>
  <c r="K70" s="1"/>
  <c r="H70" i="21"/>
  <c r="J70" s="1"/>
  <c r="K70" s="1"/>
  <c r="E69" i="13"/>
  <c r="H69" s="1"/>
  <c r="L70" i="23"/>
  <c r="M70"/>
  <c r="D69" i="18"/>
  <c r="J71" i="2"/>
  <c r="N71" s="1"/>
  <c r="P71" s="1"/>
  <c r="H66" i="25"/>
  <c r="J66" s="1"/>
  <c r="K66" s="1"/>
  <c r="H66" i="21"/>
  <c r="J66" s="1"/>
  <c r="K66" s="1"/>
  <c r="E65" i="13"/>
  <c r="H65" s="1"/>
  <c r="L66" i="23"/>
  <c r="M66"/>
  <c r="D65" i="18"/>
  <c r="J67" i="2"/>
  <c r="H62" i="25"/>
  <c r="J62" s="1"/>
  <c r="K62" s="1"/>
  <c r="H62" i="21"/>
  <c r="J62" s="1"/>
  <c r="K62" s="1"/>
  <c r="E61" i="13"/>
  <c r="H61" s="1"/>
  <c r="L62" i="23"/>
  <c r="M62"/>
  <c r="D61" i="18"/>
  <c r="J63" i="2"/>
  <c r="N63" s="1"/>
  <c r="P63" s="1"/>
  <c r="H50" i="25"/>
  <c r="J50" s="1"/>
  <c r="K50" s="1"/>
  <c r="H50" i="21"/>
  <c r="J50" s="1"/>
  <c r="K50" s="1"/>
  <c r="E49" i="13"/>
  <c r="H49" s="1"/>
  <c r="L50" i="19"/>
  <c r="M50"/>
  <c r="C49" i="18"/>
  <c r="E49" s="1"/>
  <c r="I51" i="2"/>
  <c r="K51" s="1"/>
  <c r="M125" i="23"/>
  <c r="L125"/>
  <c r="D124" i="18"/>
  <c r="E124" s="1"/>
  <c r="I63" i="11"/>
  <c r="J63" s="1"/>
  <c r="H46" i="24"/>
  <c r="J46" s="1"/>
  <c r="K46" s="1"/>
  <c r="H46" i="20"/>
  <c r="J46" s="1"/>
  <c r="K46" s="1"/>
  <c r="E45" i="12"/>
  <c r="H45" s="1"/>
  <c r="L46" i="19"/>
  <c r="M46"/>
  <c r="C45" i="18"/>
  <c r="E45" s="1"/>
  <c r="I47" i="2"/>
  <c r="K47" s="1"/>
  <c r="H19" i="24"/>
  <c r="J19" s="1"/>
  <c r="K19" s="1"/>
  <c r="H19" i="20"/>
  <c r="J19" s="1"/>
  <c r="K19" s="1"/>
  <c r="E18" i="12"/>
  <c r="H18" s="1"/>
  <c r="M19" i="19"/>
  <c r="L19"/>
  <c r="C18" i="18"/>
  <c r="E18" s="1"/>
  <c r="I20" i="2"/>
  <c r="K20" s="1"/>
  <c r="H133" i="23"/>
  <c r="J133" s="1"/>
  <c r="K133" s="1"/>
  <c r="H129" i="19"/>
  <c r="J129" s="1"/>
  <c r="K129" s="1"/>
  <c r="D91" i="11"/>
  <c r="H15" i="25"/>
  <c r="J15" s="1"/>
  <c r="K15" s="1"/>
  <c r="H15" i="21"/>
  <c r="J15" s="1"/>
  <c r="K15" s="1"/>
  <c r="E14" i="13"/>
  <c r="H14" s="1"/>
  <c r="M15" i="23"/>
  <c r="L15"/>
  <c r="D14" i="18"/>
  <c r="J16" i="2"/>
  <c r="N16" s="1"/>
  <c r="P16" s="1"/>
  <c r="H71" i="25"/>
  <c r="J71" s="1"/>
  <c r="K71" s="1"/>
  <c r="H71" i="21"/>
  <c r="J71" s="1"/>
  <c r="K71" s="1"/>
  <c r="E70" i="13"/>
  <c r="H70" s="1"/>
  <c r="M71" i="23"/>
  <c r="L71"/>
  <c r="D70" i="18"/>
  <c r="J72" i="2"/>
  <c r="H67" i="25"/>
  <c r="J67" s="1"/>
  <c r="K67" s="1"/>
  <c r="H67" i="21"/>
  <c r="J67" s="1"/>
  <c r="K67" s="1"/>
  <c r="E66" i="13"/>
  <c r="H66" s="1"/>
  <c r="M67" i="23"/>
  <c r="L67"/>
  <c r="D66" i="18"/>
  <c r="J68" i="2"/>
  <c r="H63" i="25"/>
  <c r="J63" s="1"/>
  <c r="K63" s="1"/>
  <c r="H63" i="21"/>
  <c r="J63" s="1"/>
  <c r="K63" s="1"/>
  <c r="E62" i="13"/>
  <c r="H62" s="1"/>
  <c r="M63" i="23"/>
  <c r="L63"/>
  <c r="D62" i="18"/>
  <c r="J64" i="2"/>
  <c r="N64" s="1"/>
  <c r="P64" s="1"/>
  <c r="H47" i="25"/>
  <c r="J47" s="1"/>
  <c r="K47" s="1"/>
  <c r="H47" i="21"/>
  <c r="J47" s="1"/>
  <c r="K47" s="1"/>
  <c r="E46" i="13"/>
  <c r="H46" s="1"/>
  <c r="M47" i="23"/>
  <c r="L47"/>
  <c r="D46" i="18"/>
  <c r="J48" i="2"/>
  <c r="N48" s="1"/>
  <c r="P48" s="1"/>
  <c r="H203" i="23"/>
  <c r="J203" s="1"/>
  <c r="K203" s="1"/>
  <c r="H199" i="19"/>
  <c r="J199" s="1"/>
  <c r="K199" s="1"/>
  <c r="E23" i="10"/>
  <c r="H23" s="1"/>
  <c r="H44" i="24"/>
  <c r="J44" s="1"/>
  <c r="K44" s="1"/>
  <c r="H44" i="20"/>
  <c r="J44" s="1"/>
  <c r="K44" s="1"/>
  <c r="E43" i="12"/>
  <c r="H43" s="1"/>
  <c r="H18" i="24"/>
  <c r="J18" s="1"/>
  <c r="K18" s="1"/>
  <c r="H18" i="20"/>
  <c r="J18" s="1"/>
  <c r="K18" s="1"/>
  <c r="E17" i="12"/>
  <c r="H17" s="1"/>
  <c r="L18" i="19"/>
  <c r="M18"/>
  <c r="C17" i="18"/>
  <c r="E17" s="1"/>
  <c r="I19" i="2"/>
  <c r="K19" s="1"/>
  <c r="H206" i="23"/>
  <c r="J206" s="1"/>
  <c r="K206" s="1"/>
  <c r="H202" i="19"/>
  <c r="J202" s="1"/>
  <c r="K202" s="1"/>
  <c r="E29" i="10"/>
  <c r="H29" s="1"/>
  <c r="H137" i="23"/>
  <c r="J137" s="1"/>
  <c r="K137" s="1"/>
  <c r="H133" i="19"/>
  <c r="J133" s="1"/>
  <c r="K133" s="1"/>
  <c r="E28" i="10"/>
  <c r="H14" i="25"/>
  <c r="J14" s="1"/>
  <c r="K14" s="1"/>
  <c r="H14" i="21"/>
  <c r="J14" s="1"/>
  <c r="K14" s="1"/>
  <c r="E13" i="13"/>
  <c r="H13" s="1"/>
  <c r="AJ77" i="5"/>
  <c r="AI47" i="11"/>
  <c r="H41" i="3"/>
  <c r="H75" s="1"/>
  <c r="AX74" i="5"/>
  <c r="AV74"/>
  <c r="H72" i="26"/>
  <c r="I72" s="1"/>
  <c r="H72" i="22"/>
  <c r="I72" s="1"/>
  <c r="G73" i="15"/>
  <c r="K28" i="22"/>
  <c r="J28"/>
  <c r="S34" i="15"/>
  <c r="I34"/>
  <c r="J34" s="1"/>
  <c r="V34" s="1"/>
  <c r="K33" i="26"/>
  <c r="J33"/>
  <c r="K58" i="22"/>
  <c r="J58"/>
  <c r="S24" i="15"/>
  <c r="I24"/>
  <c r="J24" s="1"/>
  <c r="V24" s="1"/>
  <c r="K23" i="26"/>
  <c r="J23"/>
  <c r="K51" i="22"/>
  <c r="J51"/>
  <c r="S9" i="15"/>
  <c r="I9"/>
  <c r="J9" s="1"/>
  <c r="V9" s="1"/>
  <c r="J8" i="26"/>
  <c r="K8"/>
  <c r="K24" i="22"/>
  <c r="J24"/>
  <c r="S41" i="15"/>
  <c r="I41"/>
  <c r="J41" s="1"/>
  <c r="V41" s="1"/>
  <c r="J40" i="26"/>
  <c r="K40"/>
  <c r="K37" i="22"/>
  <c r="J37"/>
  <c r="S58" i="15"/>
  <c r="I58"/>
  <c r="J58" s="1"/>
  <c r="V58" s="1"/>
  <c r="K57" i="26"/>
  <c r="J57"/>
  <c r="K38" i="22"/>
  <c r="J38"/>
  <c r="S42" i="15"/>
  <c r="I42"/>
  <c r="J42" s="1"/>
  <c r="V42" s="1"/>
  <c r="K41" i="26"/>
  <c r="J41"/>
  <c r="H73" i="25"/>
  <c r="J73" s="1"/>
  <c r="K73" s="1"/>
  <c r="H73" i="21"/>
  <c r="J73" s="1"/>
  <c r="K73" s="1"/>
  <c r="E72" i="13"/>
  <c r="H72" s="1"/>
  <c r="M73" i="19"/>
  <c r="L73"/>
  <c r="C72" i="18"/>
  <c r="E72" s="1"/>
  <c r="I74" i="2"/>
  <c r="K74" s="1"/>
  <c r="H119" i="23"/>
  <c r="J119" s="1"/>
  <c r="K119" s="1"/>
  <c r="H118" i="19"/>
  <c r="J118" s="1"/>
  <c r="K118" s="1"/>
  <c r="D46" i="11"/>
  <c r="G46" s="1"/>
  <c r="H57" i="25"/>
  <c r="J57" s="1"/>
  <c r="K57" s="1"/>
  <c r="H57" i="21"/>
  <c r="J57" s="1"/>
  <c r="K57" s="1"/>
  <c r="E56" i="13"/>
  <c r="H56" s="1"/>
  <c r="M57" i="19"/>
  <c r="L57"/>
  <c r="C56" i="18"/>
  <c r="E56" s="1"/>
  <c r="I58" i="2"/>
  <c r="M126" i="23"/>
  <c r="L126"/>
  <c r="D125" i="18"/>
  <c r="E125" s="1"/>
  <c r="I64" i="11"/>
  <c r="J64" s="1"/>
  <c r="H53" i="24"/>
  <c r="J53" s="1"/>
  <c r="K53" s="1"/>
  <c r="H53" i="20"/>
  <c r="J53" s="1"/>
  <c r="K53" s="1"/>
  <c r="E52" i="12"/>
  <c r="H52" s="1"/>
  <c r="M53" i="19"/>
  <c r="L53"/>
  <c r="C52" i="18"/>
  <c r="I54" i="2"/>
  <c r="M53" i="23"/>
  <c r="L53"/>
  <c r="D52" i="18"/>
  <c r="J54" i="2"/>
  <c r="H39" i="24"/>
  <c r="J39" s="1"/>
  <c r="K39" s="1"/>
  <c r="H39" i="20"/>
  <c r="J39" s="1"/>
  <c r="K39" s="1"/>
  <c r="E38" i="12"/>
  <c r="H38" s="1"/>
  <c r="M39" i="19"/>
  <c r="L39"/>
  <c r="C38" i="18"/>
  <c r="E38" s="1"/>
  <c r="I40" i="2"/>
  <c r="K40" s="1"/>
  <c r="H35" i="24"/>
  <c r="J35" s="1"/>
  <c r="K35" s="1"/>
  <c r="H35" i="20"/>
  <c r="J35" s="1"/>
  <c r="K35" s="1"/>
  <c r="E34" i="12"/>
  <c r="H34" s="1"/>
  <c r="M35" i="19"/>
  <c r="L35"/>
  <c r="C34" i="18"/>
  <c r="E34" s="1"/>
  <c r="I36" i="2"/>
  <c r="H115" i="23"/>
  <c r="J115" s="1"/>
  <c r="K115" s="1"/>
  <c r="H114" i="19"/>
  <c r="J114" s="1"/>
  <c r="K114" s="1"/>
  <c r="D42" i="11"/>
  <c r="G42" s="1"/>
  <c r="H31" i="24"/>
  <c r="J31" s="1"/>
  <c r="K31" s="1"/>
  <c r="H31" i="20"/>
  <c r="J31" s="1"/>
  <c r="K31" s="1"/>
  <c r="E30" i="12"/>
  <c r="H30" s="1"/>
  <c r="M122" i="19"/>
  <c r="L122"/>
  <c r="C122" i="18"/>
  <c r="E122" s="1"/>
  <c r="H61" i="11"/>
  <c r="J61" s="1"/>
  <c r="M31" i="23"/>
  <c r="L31"/>
  <c r="D30" i="18"/>
  <c r="J32" i="2"/>
  <c r="M130" i="23"/>
  <c r="L130"/>
  <c r="D129" i="18"/>
  <c r="I78" i="11"/>
  <c r="K78" s="1"/>
  <c r="H27" i="25"/>
  <c r="J27" s="1"/>
  <c r="K27" s="1"/>
  <c r="H27" i="21"/>
  <c r="J27" s="1"/>
  <c r="K27" s="1"/>
  <c r="E26" i="13"/>
  <c r="H26" s="1"/>
  <c r="M27" i="23"/>
  <c r="L27"/>
  <c r="D26" i="18"/>
  <c r="J28" i="2"/>
  <c r="H23" i="25"/>
  <c r="J23" s="1"/>
  <c r="K23" s="1"/>
  <c r="H23" i="21"/>
  <c r="J23" s="1"/>
  <c r="K23" s="1"/>
  <c r="E22" i="13"/>
  <c r="H22" s="1"/>
  <c r="M23" i="23"/>
  <c r="L23"/>
  <c r="D22" i="18"/>
  <c r="J24" i="2"/>
  <c r="H12" i="25"/>
  <c r="J12" s="1"/>
  <c r="K12" s="1"/>
  <c r="H12" i="21"/>
  <c r="J12" s="1"/>
  <c r="K12" s="1"/>
  <c r="E11" i="13"/>
  <c r="H11" s="1"/>
  <c r="L12" i="23"/>
  <c r="M12"/>
  <c r="D11" i="18"/>
  <c r="J13" i="2"/>
  <c r="N13" s="1"/>
  <c r="P13" s="1"/>
  <c r="H8" i="25"/>
  <c r="J8" s="1"/>
  <c r="K8" s="1"/>
  <c r="H8" i="21"/>
  <c r="J8" s="1"/>
  <c r="K8" s="1"/>
  <c r="E7" i="13"/>
  <c r="H7" s="1"/>
  <c r="L8" i="23"/>
  <c r="M8"/>
  <c r="D7" i="18"/>
  <c r="J9" i="2"/>
  <c r="K31" i="22"/>
  <c r="J31"/>
  <c r="S11" i="15"/>
  <c r="I11"/>
  <c r="J11" s="1"/>
  <c r="V11" s="1"/>
  <c r="J10" i="26"/>
  <c r="K10"/>
  <c r="K7" i="22"/>
  <c r="J7"/>
  <c r="S60" i="15"/>
  <c r="I60"/>
  <c r="J60" s="1"/>
  <c r="V60" s="1"/>
  <c r="K59" i="26"/>
  <c r="J59"/>
  <c r="K32" i="22"/>
  <c r="J32"/>
  <c r="S12" i="15"/>
  <c r="I12"/>
  <c r="J12" s="1"/>
  <c r="V12" s="1"/>
  <c r="K11" i="26"/>
  <c r="J11"/>
  <c r="T18" i="14"/>
  <c r="U10"/>
  <c r="U18" s="1"/>
  <c r="AX38" i="5"/>
  <c r="AV38"/>
  <c r="H36" i="26"/>
  <c r="I36" s="1"/>
  <c r="H36" i="22"/>
  <c r="I36" s="1"/>
  <c r="G37" i="15"/>
  <c r="AX41" i="5"/>
  <c r="AV41"/>
  <c r="H9" i="26"/>
  <c r="I9" s="1"/>
  <c r="H9" i="22"/>
  <c r="I9" s="1"/>
  <c r="G10" i="15"/>
  <c r="AX32" i="5"/>
  <c r="AV32"/>
  <c r="H40" i="24"/>
  <c r="J40" s="1"/>
  <c r="K40" s="1"/>
  <c r="H40" i="20"/>
  <c r="J40" s="1"/>
  <c r="K40" s="1"/>
  <c r="E39" i="12"/>
  <c r="H39" s="1"/>
  <c r="L40" i="19"/>
  <c r="M40"/>
  <c r="C39" i="18"/>
  <c r="E39" s="1"/>
  <c r="I41" i="2"/>
  <c r="H32" i="24"/>
  <c r="J32" s="1"/>
  <c r="K32" s="1"/>
  <c r="H32" i="20"/>
  <c r="J32" s="1"/>
  <c r="K32" s="1"/>
  <c r="E31" i="12"/>
  <c r="H31" s="1"/>
  <c r="L32" i="19"/>
  <c r="M32"/>
  <c r="C31" i="18"/>
  <c r="E31" s="1"/>
  <c r="I33" i="2"/>
  <c r="H24" i="24"/>
  <c r="J24" s="1"/>
  <c r="K24" s="1"/>
  <c r="H24" i="20"/>
  <c r="J24" s="1"/>
  <c r="K24" s="1"/>
  <c r="E23" i="12"/>
  <c r="H23" s="1"/>
  <c r="L24" i="19"/>
  <c r="M24"/>
  <c r="C23" i="18"/>
  <c r="E23" s="1"/>
  <c r="I25" i="2"/>
  <c r="H7" i="24"/>
  <c r="J7" s="1"/>
  <c r="K7" s="1"/>
  <c r="H7" i="20"/>
  <c r="J7" s="1"/>
  <c r="K7" s="1"/>
  <c r="E6" i="12"/>
  <c r="H6" s="1"/>
  <c r="M7" i="19"/>
  <c r="L7"/>
  <c r="C6" i="18"/>
  <c r="E6" s="1"/>
  <c r="I8" i="2"/>
  <c r="D60" i="9"/>
  <c r="D58"/>
  <c r="D61"/>
  <c r="D57"/>
  <c r="D55"/>
  <c r="D54"/>
  <c r="D53"/>
  <c r="D52"/>
  <c r="D51"/>
  <c r="D50"/>
  <c r="D49"/>
  <c r="D48"/>
  <c r="D47"/>
  <c r="D46"/>
  <c r="D45"/>
  <c r="D44"/>
  <c r="D43"/>
  <c r="D42"/>
  <c r="D41"/>
  <c r="D40"/>
  <c r="D28"/>
  <c r="D27"/>
  <c r="D26"/>
  <c r="D25"/>
  <c r="D24"/>
  <c r="D23"/>
  <c r="D22"/>
  <c r="D21"/>
  <c r="D20"/>
  <c r="D19"/>
  <c r="D18"/>
  <c r="D17"/>
  <c r="D16"/>
  <c r="D15"/>
  <c r="D14"/>
  <c r="D13"/>
  <c r="D12"/>
  <c r="D11"/>
  <c r="D8"/>
  <c r="D6"/>
  <c r="D59"/>
  <c r="D56"/>
  <c r="D39"/>
  <c r="D38"/>
  <c r="D37"/>
  <c r="D36"/>
  <c r="D35"/>
  <c r="D34"/>
  <c r="D33"/>
  <c r="D32"/>
  <c r="D31"/>
  <c r="D30"/>
  <c r="D29"/>
  <c r="H129" i="23"/>
  <c r="J129" s="1"/>
  <c r="K129" s="1"/>
  <c r="H125" i="19"/>
  <c r="J125" s="1"/>
  <c r="K125" s="1"/>
  <c r="D77" i="11"/>
  <c r="H41" i="25"/>
  <c r="J41" s="1"/>
  <c r="K41" s="1"/>
  <c r="H41" i="21"/>
  <c r="J41" s="1"/>
  <c r="K41" s="1"/>
  <c r="E40" i="13"/>
  <c r="H40" s="1"/>
  <c r="AX17" i="5"/>
  <c r="AV17"/>
  <c r="H48" i="26"/>
  <c r="I48" s="1"/>
  <c r="H48" i="22"/>
  <c r="I48" s="1"/>
  <c r="G49" i="15"/>
  <c r="AX64" i="5"/>
  <c r="AV64"/>
  <c r="H63" i="26"/>
  <c r="I63" s="1"/>
  <c r="H63" i="22"/>
  <c r="I63" s="1"/>
  <c r="G64" i="15"/>
  <c r="AX14" i="5"/>
  <c r="AV14"/>
  <c r="H12" i="26"/>
  <c r="I12" s="1"/>
  <c r="H12" i="22"/>
  <c r="I12" s="1"/>
  <c r="G13" i="15"/>
  <c r="K43" i="11"/>
  <c r="N21" i="2"/>
  <c r="P21" s="1"/>
  <c r="AQ46" i="5"/>
  <c r="AQ19"/>
  <c r="N19" i="2"/>
  <c r="P19" s="1"/>
  <c r="AQ52" i="5"/>
  <c r="N68" i="2"/>
  <c r="P68" s="1"/>
  <c r="AQ51" i="5"/>
  <c r="AQ21"/>
  <c r="N35" i="2"/>
  <c r="P35" s="1"/>
  <c r="AQ15" i="5"/>
  <c r="N69" i="2"/>
  <c r="P69" s="1"/>
  <c r="N46"/>
  <c r="P46" s="1"/>
  <c r="AQ44" i="5"/>
  <c r="N67" i="2"/>
  <c r="P67" s="1"/>
  <c r="AQ45" i="5"/>
  <c r="AQ66"/>
  <c r="N22" i="2"/>
  <c r="P22" s="1"/>
  <c r="N66"/>
  <c r="P66" s="1"/>
  <c r="N47"/>
  <c r="P47" s="1"/>
  <c r="AQ72" i="5"/>
  <c r="N72" i="2"/>
  <c r="P72" s="1"/>
  <c r="K63" i="11"/>
  <c r="AQ74" i="5"/>
  <c r="AQ38"/>
  <c r="AQ41"/>
  <c r="N10" i="2"/>
  <c r="P10" s="1"/>
  <c r="AQ32" i="5"/>
  <c r="AF44" i="10"/>
  <c r="AQ17" i="5"/>
  <c r="N49" i="2"/>
  <c r="P49" s="1"/>
  <c r="AQ64" i="5"/>
  <c r="AQ65"/>
  <c r="AQ14"/>
  <c r="N28" i="2"/>
  <c r="P28" s="1"/>
  <c r="K43" l="1"/>
  <c r="K37"/>
  <c r="K62"/>
  <c r="K61" i="11"/>
  <c r="K75" i="2"/>
  <c r="R28"/>
  <c r="S28" s="1"/>
  <c r="C27" i="3" s="1"/>
  <c r="P27" s="1"/>
  <c r="AB27" s="1"/>
  <c r="U28" i="2"/>
  <c r="C27" i="4" s="1"/>
  <c r="P27" s="1"/>
  <c r="AB27" s="1"/>
  <c r="R49" i="2"/>
  <c r="S49" s="1"/>
  <c r="C48" i="3" s="1"/>
  <c r="P48" s="1"/>
  <c r="AB48" s="1"/>
  <c r="U49" i="2"/>
  <c r="C48" i="4" s="1"/>
  <c r="P48" s="1"/>
  <c r="AB48" s="1"/>
  <c r="U10" i="2"/>
  <c r="C9" i="4" s="1"/>
  <c r="P9" s="1"/>
  <c r="AB9" s="1"/>
  <c r="R10" i="2"/>
  <c r="S10" s="1"/>
  <c r="C9" i="3" s="1"/>
  <c r="P9" s="1"/>
  <c r="AB9" s="1"/>
  <c r="U72" i="2"/>
  <c r="C71" i="4" s="1"/>
  <c r="P71" s="1"/>
  <c r="AB71" s="1"/>
  <c r="R72" i="2"/>
  <c r="S72" s="1"/>
  <c r="C71" i="3" s="1"/>
  <c r="P71" s="1"/>
  <c r="AB71" s="1"/>
  <c r="U66" i="2"/>
  <c r="C65" i="4" s="1"/>
  <c r="P65" s="1"/>
  <c r="AB65" s="1"/>
  <c r="R66" i="2"/>
  <c r="S66" s="1"/>
  <c r="C65" i="3" s="1"/>
  <c r="P65" s="1"/>
  <c r="AB65" s="1"/>
  <c r="U46" i="2"/>
  <c r="C45" i="4" s="1"/>
  <c r="P45" s="1"/>
  <c r="AB45" s="1"/>
  <c r="R46" i="2"/>
  <c r="S46" s="1"/>
  <c r="C45" i="3" s="1"/>
  <c r="P45" s="1"/>
  <c r="AB45" s="1"/>
  <c r="U68" i="2"/>
  <c r="C67" i="4" s="1"/>
  <c r="P67" s="1"/>
  <c r="AB67" s="1"/>
  <c r="R68" i="2"/>
  <c r="S68" s="1"/>
  <c r="C67" i="3" s="1"/>
  <c r="P67" s="1"/>
  <c r="AB67" s="1"/>
  <c r="U19" i="2"/>
  <c r="C18" i="4" s="1"/>
  <c r="P18" s="1"/>
  <c r="AB18" s="1"/>
  <c r="R19" i="2"/>
  <c r="S19" s="1"/>
  <c r="C18" i="3" s="1"/>
  <c r="P18" s="1"/>
  <c r="AB18" s="1"/>
  <c r="U21" i="2"/>
  <c r="C20" i="4" s="1"/>
  <c r="P20" s="1"/>
  <c r="AB20" s="1"/>
  <c r="R21" i="2"/>
  <c r="S21" s="1"/>
  <c r="C20" i="3" s="1"/>
  <c r="P20" s="1"/>
  <c r="AB20" s="1"/>
  <c r="S13" i="15"/>
  <c r="I13"/>
  <c r="J13" s="1"/>
  <c r="V13" s="1"/>
  <c r="J12" i="26"/>
  <c r="K12"/>
  <c r="K63" i="22"/>
  <c r="J63"/>
  <c r="S49" i="15"/>
  <c r="I49"/>
  <c r="J49" s="1"/>
  <c r="V49" s="1"/>
  <c r="J48" i="26"/>
  <c r="K48"/>
  <c r="L41" i="21"/>
  <c r="M41"/>
  <c r="I40" i="13"/>
  <c r="D79" i="11"/>
  <c r="D83" s="1"/>
  <c r="G77"/>
  <c r="K131" i="23"/>
  <c r="L129"/>
  <c r="L131" s="1"/>
  <c r="M129"/>
  <c r="M131" s="1"/>
  <c r="D128" i="18"/>
  <c r="D130" s="1"/>
  <c r="I77" i="11"/>
  <c r="I79" s="1"/>
  <c r="H167" i="23"/>
  <c r="J167" s="1"/>
  <c r="K167" s="1"/>
  <c r="H163" i="19"/>
  <c r="J163" s="1"/>
  <c r="K163" s="1"/>
  <c r="E30" i="9"/>
  <c r="H30" s="1"/>
  <c r="H169" i="23"/>
  <c r="J169" s="1"/>
  <c r="K169" s="1"/>
  <c r="H165" i="19"/>
  <c r="J165" s="1"/>
  <c r="K165" s="1"/>
  <c r="E32" i="9"/>
  <c r="H32" s="1"/>
  <c r="H170" i="23"/>
  <c r="J170" s="1"/>
  <c r="K170" s="1"/>
  <c r="H166" i="19"/>
  <c r="J166" s="1"/>
  <c r="K166" s="1"/>
  <c r="E34" i="9"/>
  <c r="H34" s="1"/>
  <c r="H172" i="23"/>
  <c r="J172" s="1"/>
  <c r="K172" s="1"/>
  <c r="H168" i="19"/>
  <c r="J168" s="1"/>
  <c r="K168" s="1"/>
  <c r="E36" i="9"/>
  <c r="H36" s="1"/>
  <c r="H174" i="23"/>
  <c r="J174" s="1"/>
  <c r="K174" s="1"/>
  <c r="H170" i="19"/>
  <c r="J170" s="1"/>
  <c r="K170" s="1"/>
  <c r="E38" i="9"/>
  <c r="H38" s="1"/>
  <c r="H191" i="23"/>
  <c r="J191" s="1"/>
  <c r="K191" s="1"/>
  <c r="H187" i="19"/>
  <c r="J187" s="1"/>
  <c r="K187" s="1"/>
  <c r="E56" i="9"/>
  <c r="H56" s="1"/>
  <c r="H41" i="23"/>
  <c r="J41" s="1"/>
  <c r="K41" s="1"/>
  <c r="H41" i="19"/>
  <c r="J41" s="1"/>
  <c r="K41" s="1"/>
  <c r="E6" i="9"/>
  <c r="H6" s="1"/>
  <c r="H143" i="23"/>
  <c r="J143" s="1"/>
  <c r="K143" s="1"/>
  <c r="H139" i="19"/>
  <c r="J139" s="1"/>
  <c r="K139" s="1"/>
  <c r="E11" i="9"/>
  <c r="H145" i="23"/>
  <c r="J145" s="1"/>
  <c r="K145" s="1"/>
  <c r="H141" i="19"/>
  <c r="J141" s="1"/>
  <c r="K141" s="1"/>
  <c r="E13" i="9"/>
  <c r="H13" s="1"/>
  <c r="H149" i="23"/>
  <c r="J149" s="1"/>
  <c r="K149" s="1"/>
  <c r="H145" i="19"/>
  <c r="J145" s="1"/>
  <c r="K145" s="1"/>
  <c r="E15" i="9"/>
  <c r="H15" s="1"/>
  <c r="H151" i="23"/>
  <c r="J151" s="1"/>
  <c r="K151" s="1"/>
  <c r="H147" i="19"/>
  <c r="J147" s="1"/>
  <c r="K147" s="1"/>
  <c r="E17" i="9"/>
  <c r="H17" s="1"/>
  <c r="H153" i="23"/>
  <c r="J153" s="1"/>
  <c r="K153" s="1"/>
  <c r="H149" i="19"/>
  <c r="J149" s="1"/>
  <c r="K149" s="1"/>
  <c r="E19" i="9"/>
  <c r="H19" s="1"/>
  <c r="H158" i="23"/>
  <c r="J158" s="1"/>
  <c r="K158" s="1"/>
  <c r="H154" i="19"/>
  <c r="J154" s="1"/>
  <c r="K154" s="1"/>
  <c r="E21" i="9"/>
  <c r="H21" s="1"/>
  <c r="H160" i="23"/>
  <c r="J160" s="1"/>
  <c r="K160" s="1"/>
  <c r="H156" i="19"/>
  <c r="J156" s="1"/>
  <c r="K156" s="1"/>
  <c r="E23" i="9"/>
  <c r="H23" s="1"/>
  <c r="H162" i="23"/>
  <c r="J162" s="1"/>
  <c r="K162" s="1"/>
  <c r="H158" i="19"/>
  <c r="J158" s="1"/>
  <c r="K158" s="1"/>
  <c r="E25" i="9"/>
  <c r="H25" s="1"/>
  <c r="H164" i="23"/>
  <c r="J164" s="1"/>
  <c r="K164" s="1"/>
  <c r="H160" i="19"/>
  <c r="J160" s="1"/>
  <c r="K160" s="1"/>
  <c r="E27" i="9"/>
  <c r="H27" s="1"/>
  <c r="H176" i="23"/>
  <c r="J176" s="1"/>
  <c r="K176" s="1"/>
  <c r="H172" i="19"/>
  <c r="J172" s="1"/>
  <c r="K172" s="1"/>
  <c r="E40" i="9"/>
  <c r="H40" s="1"/>
  <c r="H178" i="23"/>
  <c r="J178" s="1"/>
  <c r="K178" s="1"/>
  <c r="H174" i="19"/>
  <c r="J174" s="1"/>
  <c r="K174" s="1"/>
  <c r="E42" i="9"/>
  <c r="H42" s="1"/>
  <c r="H180" i="23"/>
  <c r="J180" s="1"/>
  <c r="K180" s="1"/>
  <c r="H176" i="19"/>
  <c r="J176" s="1"/>
  <c r="K176" s="1"/>
  <c r="E44" i="9"/>
  <c r="H44" s="1"/>
  <c r="H182" i="23"/>
  <c r="J182" s="1"/>
  <c r="K182" s="1"/>
  <c r="H178" i="19"/>
  <c r="J178" s="1"/>
  <c r="K178" s="1"/>
  <c r="E46" i="9"/>
  <c r="H46" s="1"/>
  <c r="H184" i="23"/>
  <c r="J184" s="1"/>
  <c r="K184" s="1"/>
  <c r="H180" i="19"/>
  <c r="J180" s="1"/>
  <c r="K180" s="1"/>
  <c r="E48" i="9"/>
  <c r="H48" s="1"/>
  <c r="H186" i="23"/>
  <c r="J186" s="1"/>
  <c r="K186" s="1"/>
  <c r="H182" i="19"/>
  <c r="J182" s="1"/>
  <c r="K182" s="1"/>
  <c r="E50" i="9"/>
  <c r="H50" s="1"/>
  <c r="H188" i="23"/>
  <c r="J188" s="1"/>
  <c r="K188" s="1"/>
  <c r="H184" i="19"/>
  <c r="J184" s="1"/>
  <c r="K184" s="1"/>
  <c r="E52" i="9"/>
  <c r="H52" s="1"/>
  <c r="H190" i="23"/>
  <c r="J190" s="1"/>
  <c r="K190" s="1"/>
  <c r="H186" i="19"/>
  <c r="J186" s="1"/>
  <c r="K186" s="1"/>
  <c r="E54" i="9"/>
  <c r="H54" s="1"/>
  <c r="H147" i="23"/>
  <c r="J147" s="1"/>
  <c r="K147" s="1"/>
  <c r="H143" i="19"/>
  <c r="J143" s="1"/>
  <c r="K143" s="1"/>
  <c r="E57" i="9"/>
  <c r="H57" s="1"/>
  <c r="H148" i="23"/>
  <c r="J148" s="1"/>
  <c r="K148" s="1"/>
  <c r="H144" i="19"/>
  <c r="J144" s="1"/>
  <c r="K144" s="1"/>
  <c r="E58" i="9"/>
  <c r="H58" s="1"/>
  <c r="L78" i="11"/>
  <c r="M78"/>
  <c r="O78" s="1"/>
  <c r="Q78" s="1"/>
  <c r="U48" i="2"/>
  <c r="C47" i="4" s="1"/>
  <c r="P47" s="1"/>
  <c r="AB47" s="1"/>
  <c r="R48" i="2"/>
  <c r="S48" s="1"/>
  <c r="C47" i="3" s="1"/>
  <c r="P47" s="1"/>
  <c r="AB47" s="1"/>
  <c r="R16" i="2"/>
  <c r="S16" s="1"/>
  <c r="C15" i="3" s="1"/>
  <c r="P15" s="1"/>
  <c r="AB15" s="1"/>
  <c r="U16" i="2"/>
  <c r="C15" i="4" s="1"/>
  <c r="P15" s="1"/>
  <c r="AB15" s="1"/>
  <c r="U70" i="2"/>
  <c r="C69" i="4" s="1"/>
  <c r="P69" s="1"/>
  <c r="AB69" s="1"/>
  <c r="R70" i="2"/>
  <c r="S70" s="1"/>
  <c r="C69" i="3" s="1"/>
  <c r="P69" s="1"/>
  <c r="AB69" s="1"/>
  <c r="U14" i="2"/>
  <c r="C13" i="4" s="1"/>
  <c r="P13" s="1"/>
  <c r="AB13" s="1"/>
  <c r="R14" i="2"/>
  <c r="S14" s="1"/>
  <c r="C13" i="3" s="1"/>
  <c r="P13" s="1"/>
  <c r="AB13" s="1"/>
  <c r="U31" i="2"/>
  <c r="C30" i="4" s="1"/>
  <c r="P30" s="1"/>
  <c r="AB30" s="1"/>
  <c r="R31" i="2"/>
  <c r="S31" s="1"/>
  <c r="C30" i="3" s="1"/>
  <c r="P30" s="1"/>
  <c r="AB30" s="1"/>
  <c r="K73" i="2"/>
  <c r="L61" i="11"/>
  <c r="M61" s="1"/>
  <c r="O61" s="1"/>
  <c r="Q61" s="1"/>
  <c r="L63"/>
  <c r="M63" s="1"/>
  <c r="O63" s="1"/>
  <c r="Q63" s="1"/>
  <c r="R47" i="2"/>
  <c r="S47" s="1"/>
  <c r="C46" i="3" s="1"/>
  <c r="P46" s="1"/>
  <c r="AB46" s="1"/>
  <c r="U47" i="2"/>
  <c r="C46" i="4" s="1"/>
  <c r="P46" s="1"/>
  <c r="AB46" s="1"/>
  <c r="R22" i="2"/>
  <c r="S22" s="1"/>
  <c r="C21" i="3" s="1"/>
  <c r="P21" s="1"/>
  <c r="AB21" s="1"/>
  <c r="U22" i="2"/>
  <c r="C21" i="4" s="1"/>
  <c r="P21" s="1"/>
  <c r="AB21" s="1"/>
  <c r="R67" i="2"/>
  <c r="S67" s="1"/>
  <c r="C66" i="3" s="1"/>
  <c r="P66" s="1"/>
  <c r="AB66" s="1"/>
  <c r="U67" i="2"/>
  <c r="C66" i="4" s="1"/>
  <c r="P66" s="1"/>
  <c r="AB66" s="1"/>
  <c r="R69" i="2"/>
  <c r="S69" s="1"/>
  <c r="C68" i="3" s="1"/>
  <c r="P68" s="1"/>
  <c r="AB68" s="1"/>
  <c r="U69" i="2"/>
  <c r="C68" i="4" s="1"/>
  <c r="P68" s="1"/>
  <c r="AB68" s="1"/>
  <c r="R35" i="2"/>
  <c r="S35" s="1"/>
  <c r="C34" i="3" s="1"/>
  <c r="P34" s="1"/>
  <c r="AB34" s="1"/>
  <c r="U35" i="2"/>
  <c r="C34" i="4" s="1"/>
  <c r="P34" s="1"/>
  <c r="AB34" s="1"/>
  <c r="L43" i="11"/>
  <c r="M43" s="1"/>
  <c r="O43" s="1"/>
  <c r="Q43" s="1"/>
  <c r="M50" i="2"/>
  <c r="N50" s="1"/>
  <c r="P50" s="1"/>
  <c r="K12" i="22"/>
  <c r="J12"/>
  <c r="S64" i="15"/>
  <c r="I64"/>
  <c r="J64" s="1"/>
  <c r="V64" s="1"/>
  <c r="K63" i="26"/>
  <c r="J63"/>
  <c r="K48" i="22"/>
  <c r="J48"/>
  <c r="R13" i="2"/>
  <c r="S13" s="1"/>
  <c r="C12" i="3" s="1"/>
  <c r="P12" s="1"/>
  <c r="AB12" s="1"/>
  <c r="U13" i="2"/>
  <c r="C12" i="4" s="1"/>
  <c r="P12" s="1"/>
  <c r="AB12" s="1"/>
  <c r="U64" i="2"/>
  <c r="C63" i="4" s="1"/>
  <c r="P63" s="1"/>
  <c r="AB63" s="1"/>
  <c r="R64" i="2"/>
  <c r="S64" s="1"/>
  <c r="C63" i="3" s="1"/>
  <c r="P63" s="1"/>
  <c r="AB63" s="1"/>
  <c r="R63" i="2"/>
  <c r="S63" s="1"/>
  <c r="C62" i="3" s="1"/>
  <c r="P62" s="1"/>
  <c r="AB62" s="1"/>
  <c r="U63" i="2"/>
  <c r="C62" i="4" s="1"/>
  <c r="P62" s="1"/>
  <c r="AB62" s="1"/>
  <c r="R71" i="2"/>
  <c r="S71" s="1"/>
  <c r="C70" i="3" s="1"/>
  <c r="P70" s="1"/>
  <c r="AB70" s="1"/>
  <c r="U71" i="2"/>
  <c r="C70" i="4" s="1"/>
  <c r="P70" s="1"/>
  <c r="AB70" s="1"/>
  <c r="R18" i="2"/>
  <c r="S18" s="1"/>
  <c r="C17" i="3" s="1"/>
  <c r="P17" s="1"/>
  <c r="AB17" s="1"/>
  <c r="U18" i="2"/>
  <c r="C17" i="4" s="1"/>
  <c r="P17" s="1"/>
  <c r="AB17" s="1"/>
  <c r="R65" i="2"/>
  <c r="S65" s="1"/>
  <c r="C64" i="3" s="1"/>
  <c r="P64" s="1"/>
  <c r="AB64" s="1"/>
  <c r="U65" i="2"/>
  <c r="C64" i="4" s="1"/>
  <c r="P64" s="1"/>
  <c r="AB64" s="1"/>
  <c r="L41" i="25"/>
  <c r="M41"/>
  <c r="J40" i="13"/>
  <c r="L125" i="19"/>
  <c r="L127" s="1"/>
  <c r="K127"/>
  <c r="M125"/>
  <c r="M127" s="1"/>
  <c r="C128" i="18"/>
  <c r="H77" i="11"/>
  <c r="H166" i="23"/>
  <c r="J166" s="1"/>
  <c r="K166" s="1"/>
  <c r="H162" i="19"/>
  <c r="J162" s="1"/>
  <c r="K162" s="1"/>
  <c r="E29" i="9"/>
  <c r="H29" s="1"/>
  <c r="H168" i="23"/>
  <c r="J168" s="1"/>
  <c r="K168" s="1"/>
  <c r="H164" i="19"/>
  <c r="J164" s="1"/>
  <c r="K164" s="1"/>
  <c r="E31" i="9"/>
  <c r="H31" s="1"/>
  <c r="H140" i="23"/>
  <c r="J140" s="1"/>
  <c r="K140" s="1"/>
  <c r="H136" i="19"/>
  <c r="J136" s="1"/>
  <c r="K136" s="1"/>
  <c r="E33" i="9"/>
  <c r="H33" s="1"/>
  <c r="H171" i="23"/>
  <c r="J171" s="1"/>
  <c r="K171" s="1"/>
  <c r="H167" i="19"/>
  <c r="J167" s="1"/>
  <c r="K167" s="1"/>
  <c r="E35" i="9"/>
  <c r="H35" s="1"/>
  <c r="H173" i="23"/>
  <c r="J173" s="1"/>
  <c r="K173" s="1"/>
  <c r="H169" i="19"/>
  <c r="J169" s="1"/>
  <c r="K169" s="1"/>
  <c r="E37" i="9"/>
  <c r="H37" s="1"/>
  <c r="H175" i="23"/>
  <c r="J175" s="1"/>
  <c r="K175" s="1"/>
  <c r="H171" i="19"/>
  <c r="J171" s="1"/>
  <c r="K171" s="1"/>
  <c r="E39" i="9"/>
  <c r="H39" s="1"/>
  <c r="H155" i="23"/>
  <c r="J155" s="1"/>
  <c r="K155" s="1"/>
  <c r="H151" i="19"/>
  <c r="J151" s="1"/>
  <c r="K151" s="1"/>
  <c r="E59" i="9"/>
  <c r="H59" s="1"/>
  <c r="H136" i="23"/>
  <c r="J136" s="1"/>
  <c r="K136" s="1"/>
  <c r="H132" i="19"/>
  <c r="J132" s="1"/>
  <c r="K132" s="1"/>
  <c r="E8" i="9"/>
  <c r="H8" s="1"/>
  <c r="H144" i="23"/>
  <c r="J144" s="1"/>
  <c r="K144" s="1"/>
  <c r="H140" i="19"/>
  <c r="J140" s="1"/>
  <c r="K140" s="1"/>
  <c r="E12" i="9"/>
  <c r="H12" s="1"/>
  <c r="H146" i="23"/>
  <c r="J146" s="1"/>
  <c r="K146" s="1"/>
  <c r="H142" i="19"/>
  <c r="J142" s="1"/>
  <c r="K142" s="1"/>
  <c r="E14" i="9"/>
  <c r="H14" s="1"/>
  <c r="H150" i="23"/>
  <c r="J150" s="1"/>
  <c r="K150" s="1"/>
  <c r="H146" i="19"/>
  <c r="J146" s="1"/>
  <c r="K146" s="1"/>
  <c r="E16" i="9"/>
  <c r="H16" s="1"/>
  <c r="H152" i="23"/>
  <c r="J152" s="1"/>
  <c r="K152" s="1"/>
  <c r="H148" i="19"/>
  <c r="J148" s="1"/>
  <c r="K148" s="1"/>
  <c r="E18" i="9"/>
  <c r="H18" s="1"/>
  <c r="H157" i="23"/>
  <c r="J157" s="1"/>
  <c r="K157" s="1"/>
  <c r="H153" i="19"/>
  <c r="J153" s="1"/>
  <c r="K153" s="1"/>
  <c r="E20" i="9"/>
  <c r="H20" s="1"/>
  <c r="H159" i="23"/>
  <c r="J159" s="1"/>
  <c r="K159" s="1"/>
  <c r="H155" i="19"/>
  <c r="J155" s="1"/>
  <c r="K155" s="1"/>
  <c r="E22" i="9"/>
  <c r="H22" s="1"/>
  <c r="H161" i="23"/>
  <c r="J161" s="1"/>
  <c r="K161" s="1"/>
  <c r="H157" i="19"/>
  <c r="J157" s="1"/>
  <c r="K157" s="1"/>
  <c r="E24" i="9"/>
  <c r="H24" s="1"/>
  <c r="H163" i="23"/>
  <c r="J163" s="1"/>
  <c r="K163" s="1"/>
  <c r="H159" i="19"/>
  <c r="J159" s="1"/>
  <c r="K159" s="1"/>
  <c r="E26" i="9"/>
  <c r="H26" s="1"/>
  <c r="H165" i="23"/>
  <c r="J165" s="1"/>
  <c r="K165" s="1"/>
  <c r="H161" i="19"/>
  <c r="J161" s="1"/>
  <c r="K161" s="1"/>
  <c r="E28" i="9"/>
  <c r="H28" s="1"/>
  <c r="H177" i="23"/>
  <c r="J177" s="1"/>
  <c r="K177" s="1"/>
  <c r="H173" i="19"/>
  <c r="J173" s="1"/>
  <c r="K173" s="1"/>
  <c r="E41" i="9"/>
  <c r="H41" s="1"/>
  <c r="H179" i="23"/>
  <c r="J179" s="1"/>
  <c r="K179" s="1"/>
  <c r="H175" i="19"/>
  <c r="J175" s="1"/>
  <c r="K175" s="1"/>
  <c r="E43" i="9"/>
  <c r="H43" s="1"/>
  <c r="H181" i="23"/>
  <c r="J181" s="1"/>
  <c r="K181" s="1"/>
  <c r="H177" i="19"/>
  <c r="J177" s="1"/>
  <c r="K177" s="1"/>
  <c r="E45" i="9"/>
  <c r="H45" s="1"/>
  <c r="H183" i="23"/>
  <c r="J183" s="1"/>
  <c r="K183" s="1"/>
  <c r="H179" i="19"/>
  <c r="J179" s="1"/>
  <c r="K179" s="1"/>
  <c r="E47" i="9"/>
  <c r="H47" s="1"/>
  <c r="H185" i="23"/>
  <c r="J185" s="1"/>
  <c r="K185" s="1"/>
  <c r="H181" i="19"/>
  <c r="J181" s="1"/>
  <c r="K181" s="1"/>
  <c r="E49" i="9"/>
  <c r="H49" s="1"/>
  <c r="H187" i="23"/>
  <c r="J187" s="1"/>
  <c r="K187" s="1"/>
  <c r="H183" i="19"/>
  <c r="J183" s="1"/>
  <c r="K183" s="1"/>
  <c r="E51" i="9"/>
  <c r="H51" s="1"/>
  <c r="H189" i="23"/>
  <c r="J189" s="1"/>
  <c r="K189" s="1"/>
  <c r="H185" i="19"/>
  <c r="J185" s="1"/>
  <c r="K185" s="1"/>
  <c r="E53" i="9"/>
  <c r="H53" s="1"/>
  <c r="H192" i="23"/>
  <c r="J192" s="1"/>
  <c r="K192" s="1"/>
  <c r="H188" i="19"/>
  <c r="J188" s="1"/>
  <c r="K188" s="1"/>
  <c r="E55" i="9"/>
  <c r="H55" s="1"/>
  <c r="H154" i="23"/>
  <c r="J154" s="1"/>
  <c r="K154" s="1"/>
  <c r="H150" i="19"/>
  <c r="J150" s="1"/>
  <c r="K150" s="1"/>
  <c r="E61" i="9"/>
  <c r="H61" s="1"/>
  <c r="H156" i="23"/>
  <c r="J156" s="1"/>
  <c r="K156" s="1"/>
  <c r="H152" i="19"/>
  <c r="J152" s="1"/>
  <c r="K152" s="1"/>
  <c r="E60" i="9"/>
  <c r="H60" s="1"/>
  <c r="F6" i="18"/>
  <c r="G6"/>
  <c r="L7" i="20"/>
  <c r="M7"/>
  <c r="I6" i="12"/>
  <c r="K25" i="2"/>
  <c r="N25"/>
  <c r="P25" s="1"/>
  <c r="M24" i="24"/>
  <c r="L24"/>
  <c r="J23" i="12"/>
  <c r="G31" i="18"/>
  <c r="F31"/>
  <c r="L32" i="20"/>
  <c r="M32"/>
  <c r="I31" i="12"/>
  <c r="K41" i="2"/>
  <c r="N41"/>
  <c r="P41" s="1"/>
  <c r="M40" i="24"/>
  <c r="L40"/>
  <c r="J39" i="12"/>
  <c r="K9" i="22"/>
  <c r="J9"/>
  <c r="S37" i="15"/>
  <c r="I37"/>
  <c r="J37" s="1"/>
  <c r="V37" s="1"/>
  <c r="J36" i="26"/>
  <c r="K36"/>
  <c r="M8" i="21"/>
  <c r="L8"/>
  <c r="I7" i="13"/>
  <c r="L12" i="25"/>
  <c r="M12"/>
  <c r="J11" i="13"/>
  <c r="L23" i="21"/>
  <c r="M23"/>
  <c r="I22" i="13"/>
  <c r="L27" i="25"/>
  <c r="M27"/>
  <c r="J26" i="13"/>
  <c r="F122" i="18"/>
  <c r="G122"/>
  <c r="M31" i="20"/>
  <c r="L31"/>
  <c r="I30" i="12"/>
  <c r="M115" i="23"/>
  <c r="L115"/>
  <c r="D114" i="18"/>
  <c r="I42" i="11"/>
  <c r="F34" i="18"/>
  <c r="G34"/>
  <c r="M35" i="20"/>
  <c r="L35"/>
  <c r="I34" i="12"/>
  <c r="L39" i="24"/>
  <c r="M39"/>
  <c r="J38" i="12"/>
  <c r="M53" i="20"/>
  <c r="L53"/>
  <c r="I52" i="12"/>
  <c r="L57" i="25"/>
  <c r="M57"/>
  <c r="J56" i="13"/>
  <c r="L118" i="19"/>
  <c r="M118"/>
  <c r="C118" i="18"/>
  <c r="H46" i="11"/>
  <c r="L73" i="25"/>
  <c r="M73"/>
  <c r="J72" i="13"/>
  <c r="K72" i="22"/>
  <c r="J72"/>
  <c r="L14" i="25"/>
  <c r="M14"/>
  <c r="J13" i="13"/>
  <c r="M133" i="19"/>
  <c r="L133"/>
  <c r="C136" i="18"/>
  <c r="I28" i="10"/>
  <c r="K207" i="23"/>
  <c r="M206"/>
  <c r="M207" s="1"/>
  <c r="L206"/>
  <c r="L207" s="1"/>
  <c r="D205" i="18"/>
  <c r="D206" s="1"/>
  <c r="J29" i="10"/>
  <c r="G17" i="18"/>
  <c r="F17"/>
  <c r="M18" i="20"/>
  <c r="L18"/>
  <c r="I17" i="12"/>
  <c r="M44" i="24"/>
  <c r="L44"/>
  <c r="J43" i="12"/>
  <c r="K200" i="19"/>
  <c r="M199"/>
  <c r="M200" s="1"/>
  <c r="L199"/>
  <c r="L200" s="1"/>
  <c r="C202" i="18"/>
  <c r="I23" i="10"/>
  <c r="L47" i="25"/>
  <c r="M47"/>
  <c r="J46" i="13"/>
  <c r="L63" i="21"/>
  <c r="M63"/>
  <c r="I62" i="13"/>
  <c r="L67" i="25"/>
  <c r="M67"/>
  <c r="J66" i="13"/>
  <c r="L71" i="21"/>
  <c r="M71"/>
  <c r="I70" i="13"/>
  <c r="M15" i="25"/>
  <c r="L15"/>
  <c r="J14" i="13"/>
  <c r="K130" i="19"/>
  <c r="M129"/>
  <c r="M130" s="1"/>
  <c r="L129"/>
  <c r="L130" s="1"/>
  <c r="C132" i="18"/>
  <c r="H91" i="11"/>
  <c r="L19" i="24"/>
  <c r="M19"/>
  <c r="J18" i="12"/>
  <c r="G45" i="18"/>
  <c r="F45"/>
  <c r="L46" i="20"/>
  <c r="M46"/>
  <c r="I45" i="12"/>
  <c r="M50" i="25"/>
  <c r="L50"/>
  <c r="J49" i="13"/>
  <c r="M62" i="21"/>
  <c r="L62"/>
  <c r="I61" i="13"/>
  <c r="M66" i="25"/>
  <c r="L66"/>
  <c r="J65" i="13"/>
  <c r="M70" i="21"/>
  <c r="L70"/>
  <c r="I69" i="13"/>
  <c r="S48" i="15"/>
  <c r="I48"/>
  <c r="J48" s="1"/>
  <c r="V48" s="1"/>
  <c r="K47" i="26"/>
  <c r="J47"/>
  <c r="K46" i="22"/>
  <c r="J46"/>
  <c r="S22" i="15"/>
  <c r="I22"/>
  <c r="J22" s="1"/>
  <c r="V22" s="1"/>
  <c r="K21" i="26"/>
  <c r="J21"/>
  <c r="K16" i="22"/>
  <c r="J16"/>
  <c r="S67" i="15"/>
  <c r="I67"/>
  <c r="J67" s="1"/>
  <c r="V67" s="1"/>
  <c r="J66" i="26"/>
  <c r="K66"/>
  <c r="K69" i="22"/>
  <c r="J69"/>
  <c r="S69" i="15"/>
  <c r="I69"/>
  <c r="J69" s="1"/>
  <c r="V69" s="1"/>
  <c r="J68" i="26"/>
  <c r="K68"/>
  <c r="H27" i="1"/>
  <c r="G27"/>
  <c r="AS8" i="5"/>
  <c r="AC77"/>
  <c r="AD8"/>
  <c r="AD77" s="1"/>
  <c r="AJ74" i="13"/>
  <c r="N6" i="3"/>
  <c r="N75" s="1"/>
  <c r="S50" i="15"/>
  <c r="I50"/>
  <c r="J50" s="1"/>
  <c r="V50" s="1"/>
  <c r="K49" i="26"/>
  <c r="J49"/>
  <c r="K50" i="22"/>
  <c r="J50"/>
  <c r="S62" i="15"/>
  <c r="I62"/>
  <c r="J62" s="1"/>
  <c r="V62" s="1"/>
  <c r="K61" i="26"/>
  <c r="J61"/>
  <c r="K44" i="22"/>
  <c r="J44"/>
  <c r="M22" i="25"/>
  <c r="L22"/>
  <c r="J21" i="13"/>
  <c r="K105" i="19"/>
  <c r="M101"/>
  <c r="L101"/>
  <c r="C100" i="18"/>
  <c r="H6" i="11"/>
  <c r="M198" i="23"/>
  <c r="L198"/>
  <c r="D197" i="18"/>
  <c r="J13" i="10"/>
  <c r="L192" i="19"/>
  <c r="M192"/>
  <c r="C195" i="18"/>
  <c r="I11" i="10"/>
  <c r="L22" i="23"/>
  <c r="M22"/>
  <c r="D21" i="18"/>
  <c r="J7" i="10"/>
  <c r="M195" i="19"/>
  <c r="C198" i="18"/>
  <c r="L195" i="19"/>
  <c r="I14" i="10"/>
  <c r="K12" i="2"/>
  <c r="N12"/>
  <c r="P12" s="1"/>
  <c r="L11" i="24"/>
  <c r="M11"/>
  <c r="J10" i="12"/>
  <c r="G27" i="18"/>
  <c r="F27"/>
  <c r="L28" i="20"/>
  <c r="M28"/>
  <c r="I27" i="12"/>
  <c r="M36" i="24"/>
  <c r="L36"/>
  <c r="J35" i="12"/>
  <c r="M54" i="21"/>
  <c r="L54"/>
  <c r="I53" i="13"/>
  <c r="M58" i="25"/>
  <c r="L58"/>
  <c r="J57" i="13"/>
  <c r="M74" i="21"/>
  <c r="L74"/>
  <c r="I73" i="13"/>
  <c r="M105" i="23"/>
  <c r="L105"/>
  <c r="D104" i="18"/>
  <c r="I10" i="11"/>
  <c r="G15" i="18"/>
  <c r="F15"/>
  <c r="M16" i="20"/>
  <c r="L16"/>
  <c r="I15" i="12"/>
  <c r="M20" i="24"/>
  <c r="L20"/>
  <c r="J19" i="12"/>
  <c r="G41" i="18"/>
  <c r="F41"/>
  <c r="L42" i="20"/>
  <c r="M42"/>
  <c r="I41" i="12"/>
  <c r="L45" i="25"/>
  <c r="M45"/>
  <c r="J44" i="13"/>
  <c r="L49" i="21"/>
  <c r="M49"/>
  <c r="I48" i="13"/>
  <c r="L61" i="25"/>
  <c r="M61"/>
  <c r="J60" i="13"/>
  <c r="L65" i="21"/>
  <c r="M65"/>
  <c r="I64" i="13"/>
  <c r="L69" i="25"/>
  <c r="M69"/>
  <c r="J68" i="13"/>
  <c r="L17" i="21"/>
  <c r="M17"/>
  <c r="I16" i="13"/>
  <c r="L21" i="25"/>
  <c r="M21"/>
  <c r="J20" i="13"/>
  <c r="F123" i="18"/>
  <c r="G123"/>
  <c r="F42"/>
  <c r="G42"/>
  <c r="L43" i="21"/>
  <c r="M43"/>
  <c r="I42" i="13"/>
  <c r="M48" i="25"/>
  <c r="L48"/>
  <c r="J47" i="13"/>
  <c r="M64" i="21"/>
  <c r="L64"/>
  <c r="I63" i="13"/>
  <c r="M68" i="25"/>
  <c r="L68"/>
  <c r="J67" i="13"/>
  <c r="G9" i="18"/>
  <c r="F9"/>
  <c r="M10" i="20"/>
  <c r="L10"/>
  <c r="I9" i="12"/>
  <c r="K26" i="2"/>
  <c r="N26"/>
  <c r="P26" s="1"/>
  <c r="L25" i="24"/>
  <c r="M25"/>
  <c r="J24" i="12"/>
  <c r="F28" i="18"/>
  <c r="G28"/>
  <c r="M29" i="20"/>
  <c r="L29"/>
  <c r="I28" i="12"/>
  <c r="K34" i="2"/>
  <c r="N34"/>
  <c r="P34" s="1"/>
  <c r="L33" i="24"/>
  <c r="M33"/>
  <c r="J32" i="12"/>
  <c r="L37" i="21"/>
  <c r="M37"/>
  <c r="I36" i="13"/>
  <c r="L51" i="25"/>
  <c r="M51"/>
  <c r="J50" i="13"/>
  <c r="L134" i="19"/>
  <c r="M134"/>
  <c r="C137" i="18"/>
  <c r="I35" i="10"/>
  <c r="L55" i="25"/>
  <c r="M55"/>
  <c r="J54" i="13"/>
  <c r="L59" i="21"/>
  <c r="M59"/>
  <c r="I58" i="13"/>
  <c r="M9" i="25"/>
  <c r="L9"/>
  <c r="J8" i="13"/>
  <c r="L13" i="21"/>
  <c r="M13"/>
  <c r="I12" i="13"/>
  <c r="M26" i="25"/>
  <c r="L26"/>
  <c r="J25" i="13"/>
  <c r="M30" i="21"/>
  <c r="L30"/>
  <c r="I29" i="13"/>
  <c r="M34" i="25"/>
  <c r="L34"/>
  <c r="J33" i="13"/>
  <c r="M38" i="21"/>
  <c r="L38"/>
  <c r="I37" i="13"/>
  <c r="M52" i="25"/>
  <c r="L52"/>
  <c r="J51" i="13"/>
  <c r="M56" i="21"/>
  <c r="L56"/>
  <c r="I55" i="13"/>
  <c r="M60" i="25"/>
  <c r="L60"/>
  <c r="J59" i="13"/>
  <c r="M72" i="21"/>
  <c r="L72"/>
  <c r="I71" i="13"/>
  <c r="L103" i="23"/>
  <c r="M103"/>
  <c r="D102" i="18"/>
  <c r="I8" i="11"/>
  <c r="L45"/>
  <c r="M45" s="1"/>
  <c r="O45" s="1"/>
  <c r="Q45" s="1"/>
  <c r="M54" i="2"/>
  <c r="L7" i="11"/>
  <c r="M7" s="1"/>
  <c r="O7" s="1"/>
  <c r="Q7" s="1"/>
  <c r="M38" i="2"/>
  <c r="S28" i="15"/>
  <c r="I28"/>
  <c r="J28" s="1"/>
  <c r="V28" s="1"/>
  <c r="K27" i="26"/>
  <c r="J27"/>
  <c r="K62" i="22"/>
  <c r="J62"/>
  <c r="S16" i="15"/>
  <c r="I16"/>
  <c r="J16" s="1"/>
  <c r="V16" s="1"/>
  <c r="K15" i="26"/>
  <c r="J15"/>
  <c r="K123" i="19"/>
  <c r="M121"/>
  <c r="M123" s="1"/>
  <c r="L121"/>
  <c r="L123" s="1"/>
  <c r="C121" i="18"/>
  <c r="H60" i="11"/>
  <c r="L41" i="24"/>
  <c r="M41"/>
  <c r="J40" i="12"/>
  <c r="L113" i="19"/>
  <c r="K119"/>
  <c r="M113"/>
  <c r="C113" i="18"/>
  <c r="H41" i="11"/>
  <c r="M7" i="25"/>
  <c r="L7"/>
  <c r="J6" i="13"/>
  <c r="M24" i="21"/>
  <c r="L24"/>
  <c r="I23" i="13"/>
  <c r="M32" i="25"/>
  <c r="L32"/>
  <c r="J31" i="13"/>
  <c r="M40" i="21"/>
  <c r="L40"/>
  <c r="I39" i="13"/>
  <c r="S31" i="15"/>
  <c r="I31"/>
  <c r="J31" s="1"/>
  <c r="V31" s="1"/>
  <c r="J30" i="26"/>
  <c r="K30"/>
  <c r="K39" i="22"/>
  <c r="J39"/>
  <c r="S74" i="15"/>
  <c r="I74"/>
  <c r="J74" s="1"/>
  <c r="V74" s="1"/>
  <c r="K73" i="26"/>
  <c r="J73"/>
  <c r="M8" i="20"/>
  <c r="L8"/>
  <c r="I7" i="12"/>
  <c r="M12" i="24"/>
  <c r="L12"/>
  <c r="J11" i="12"/>
  <c r="M23" i="20"/>
  <c r="L23"/>
  <c r="I22" i="12"/>
  <c r="L27" i="24"/>
  <c r="M27"/>
  <c r="J26" i="12"/>
  <c r="L31" i="21"/>
  <c r="M31"/>
  <c r="I30" i="13"/>
  <c r="L35" i="25"/>
  <c r="M35"/>
  <c r="J34" i="13"/>
  <c r="L39" i="21"/>
  <c r="M39"/>
  <c r="I38" i="13"/>
  <c r="L53" i="25"/>
  <c r="M53"/>
  <c r="J52" i="13"/>
  <c r="M57" i="20"/>
  <c r="L57"/>
  <c r="I56" i="12"/>
  <c r="M104" i="23"/>
  <c r="L104"/>
  <c r="D103" i="18"/>
  <c r="I9" i="11"/>
  <c r="M73" i="20"/>
  <c r="L73"/>
  <c r="I72" i="12"/>
  <c r="M14" i="24"/>
  <c r="L14"/>
  <c r="J13" i="12"/>
  <c r="L14" i="19"/>
  <c r="M14"/>
  <c r="C13" i="18"/>
  <c r="I26" i="10"/>
  <c r="I15" i="2"/>
  <c r="M18" i="25"/>
  <c r="L18"/>
  <c r="J17" i="13"/>
  <c r="M44" i="21"/>
  <c r="L44"/>
  <c r="I43" i="13"/>
  <c r="H21" i="10"/>
  <c r="E24"/>
  <c r="L44" i="23"/>
  <c r="M44"/>
  <c r="D43" i="18"/>
  <c r="J21" i="10"/>
  <c r="J45" i="2"/>
  <c r="M47" i="20"/>
  <c r="L47"/>
  <c r="I46" i="12"/>
  <c r="L63" i="24"/>
  <c r="M63"/>
  <c r="J62" i="12"/>
  <c r="M67" i="20"/>
  <c r="L67"/>
  <c r="I66" i="12"/>
  <c r="L71" i="24"/>
  <c r="M71"/>
  <c r="J70" i="12"/>
  <c r="L15" i="20"/>
  <c r="M15"/>
  <c r="I14" i="12"/>
  <c r="L19" i="25"/>
  <c r="M19"/>
  <c r="J18" i="13"/>
  <c r="M46" i="21"/>
  <c r="L46"/>
  <c r="I45" i="13"/>
  <c r="M50" i="24"/>
  <c r="L50"/>
  <c r="J49" i="12"/>
  <c r="L62" i="20"/>
  <c r="M62"/>
  <c r="I61" i="12"/>
  <c r="M66" i="24"/>
  <c r="L66"/>
  <c r="J65" i="12"/>
  <c r="L70" i="20"/>
  <c r="M70"/>
  <c r="I69" i="12"/>
  <c r="S72" i="15"/>
  <c r="I72"/>
  <c r="J72" s="1"/>
  <c r="V72" s="1"/>
  <c r="K71" i="26"/>
  <c r="J71"/>
  <c r="K70" i="22"/>
  <c r="J70"/>
  <c r="S66" i="15"/>
  <c r="I66"/>
  <c r="J66" s="1"/>
  <c r="V66" s="1"/>
  <c r="K65" i="26"/>
  <c r="J65"/>
  <c r="K64" i="22"/>
  <c r="J64"/>
  <c r="AN10" i="10"/>
  <c r="AN18" s="1"/>
  <c r="AM18"/>
  <c r="S44" i="15"/>
  <c r="I44"/>
  <c r="J44" s="1"/>
  <c r="V44" s="1"/>
  <c r="K43" i="26"/>
  <c r="J43"/>
  <c r="K42" i="22"/>
  <c r="J42"/>
  <c r="S46" i="15"/>
  <c r="I46"/>
  <c r="J46" s="1"/>
  <c r="V46" s="1"/>
  <c r="K45" i="26"/>
  <c r="J45"/>
  <c r="V77" i="5"/>
  <c r="E26" i="1"/>
  <c r="H14" i="26"/>
  <c r="I14" s="1"/>
  <c r="H14" i="22"/>
  <c r="I14" s="1"/>
  <c r="G15" i="15"/>
  <c r="AJ74" i="12"/>
  <c r="M6" i="3"/>
  <c r="M75" s="1"/>
  <c r="S14" i="15"/>
  <c r="I14"/>
  <c r="J14" s="1"/>
  <c r="V14" s="1"/>
  <c r="K13" i="26"/>
  <c r="J13"/>
  <c r="K34" i="22"/>
  <c r="J34"/>
  <c r="S20" i="15"/>
  <c r="I20"/>
  <c r="J20" s="1"/>
  <c r="V20" s="1"/>
  <c r="K19" i="26"/>
  <c r="J19"/>
  <c r="K67" i="22"/>
  <c r="J67"/>
  <c r="S19" i="15"/>
  <c r="I19"/>
  <c r="J19" s="1"/>
  <c r="V19" s="1"/>
  <c r="J18" i="26"/>
  <c r="K18"/>
  <c r="K17" i="22"/>
  <c r="J17"/>
  <c r="S21" i="15"/>
  <c r="I21"/>
  <c r="J21" s="1"/>
  <c r="V21" s="1"/>
  <c r="J20" i="26"/>
  <c r="K20"/>
  <c r="L22" i="20"/>
  <c r="M22"/>
  <c r="I21" i="12"/>
  <c r="M200" i="23"/>
  <c r="L200"/>
  <c r="D199" i="18"/>
  <c r="J17" i="10"/>
  <c r="M193" i="19"/>
  <c r="C196" i="18"/>
  <c r="L193" i="19"/>
  <c r="I12" i="10"/>
  <c r="H10"/>
  <c r="E18"/>
  <c r="K201" i="23"/>
  <c r="J23" i="2" s="1"/>
  <c r="L195" i="23"/>
  <c r="M195"/>
  <c r="D194" i="18"/>
  <c r="J10" i="10"/>
  <c r="L135" i="19"/>
  <c r="M135"/>
  <c r="C138" i="18"/>
  <c r="I15" i="10"/>
  <c r="M11" i="25"/>
  <c r="L11"/>
  <c r="J10" i="13"/>
  <c r="M28" i="21"/>
  <c r="L28"/>
  <c r="I27" i="13"/>
  <c r="M36" i="25"/>
  <c r="L36"/>
  <c r="J35" i="13"/>
  <c r="L109" i="19"/>
  <c r="M109"/>
  <c r="C109" i="18"/>
  <c r="H26" i="11"/>
  <c r="K55" i="2"/>
  <c r="N55"/>
  <c r="P55" s="1"/>
  <c r="M54" i="24"/>
  <c r="L54"/>
  <c r="J53" i="12"/>
  <c r="L58" i="20"/>
  <c r="M58"/>
  <c r="I57" i="12"/>
  <c r="M74" i="24"/>
  <c r="L74"/>
  <c r="J73" i="12"/>
  <c r="M16" i="21"/>
  <c r="L16"/>
  <c r="I15" i="13"/>
  <c r="M20" i="25"/>
  <c r="L20"/>
  <c r="J19" i="13"/>
  <c r="M42" i="21"/>
  <c r="L42"/>
  <c r="I41" i="13"/>
  <c r="M109" i="23"/>
  <c r="L109"/>
  <c r="D108" i="18"/>
  <c r="I25" i="11"/>
  <c r="M45" i="20"/>
  <c r="L45"/>
  <c r="I44" i="12"/>
  <c r="L49" i="24"/>
  <c r="M49"/>
  <c r="J48" i="12"/>
  <c r="H111" i="23"/>
  <c r="J111" s="1"/>
  <c r="K111" s="1"/>
  <c r="K112" s="1"/>
  <c r="H110" i="19"/>
  <c r="J110" s="1"/>
  <c r="K110" s="1"/>
  <c r="D27" i="11"/>
  <c r="G27" s="1"/>
  <c r="L108" i="23"/>
  <c r="M108"/>
  <c r="D107" i="18"/>
  <c r="I24" i="11"/>
  <c r="M61" i="20"/>
  <c r="L61"/>
  <c r="I60" i="12"/>
  <c r="L65" i="24"/>
  <c r="M65"/>
  <c r="J64" i="12"/>
  <c r="M69" i="20"/>
  <c r="L69"/>
  <c r="I68" i="12"/>
  <c r="L17" i="24"/>
  <c r="M17"/>
  <c r="J16" i="12"/>
  <c r="L21" i="20"/>
  <c r="M21"/>
  <c r="I20" i="12"/>
  <c r="L43" i="24"/>
  <c r="M43"/>
  <c r="J42" i="12"/>
  <c r="L48" i="20"/>
  <c r="M48"/>
  <c r="I47" i="12"/>
  <c r="M64" i="24"/>
  <c r="L64"/>
  <c r="J63" i="12"/>
  <c r="L68" i="20"/>
  <c r="M68"/>
  <c r="I67" i="12"/>
  <c r="L10" i="25"/>
  <c r="M10"/>
  <c r="J9" i="13"/>
  <c r="L25" i="21"/>
  <c r="M25"/>
  <c r="I24" i="13"/>
  <c r="L29" i="25"/>
  <c r="M29"/>
  <c r="J28" i="13"/>
  <c r="L33" i="21"/>
  <c r="M33"/>
  <c r="I32" i="13"/>
  <c r="K38" i="2"/>
  <c r="N38"/>
  <c r="P38" s="1"/>
  <c r="L37" i="24"/>
  <c r="M37"/>
  <c r="J36" i="12"/>
  <c r="M51" i="20"/>
  <c r="L51"/>
  <c r="I50" i="12"/>
  <c r="H33" i="10"/>
  <c r="E36"/>
  <c r="M51" i="23"/>
  <c r="L51"/>
  <c r="D50" i="18"/>
  <c r="J33" i="10"/>
  <c r="J52" i="2"/>
  <c r="M55" i="20"/>
  <c r="L55"/>
  <c r="I54" i="12"/>
  <c r="K60" i="2"/>
  <c r="N60"/>
  <c r="P60" s="1"/>
  <c r="L59" i="24"/>
  <c r="M59"/>
  <c r="J58" i="12"/>
  <c r="L9" i="20"/>
  <c r="M9"/>
  <c r="I8" i="12"/>
  <c r="L13" i="24"/>
  <c r="M13"/>
  <c r="J12" i="12"/>
  <c r="L26" i="20"/>
  <c r="M26"/>
  <c r="I25" i="12"/>
  <c r="M30" i="24"/>
  <c r="L30"/>
  <c r="J29" i="12"/>
  <c r="L34" i="20"/>
  <c r="M34"/>
  <c r="I33" i="12"/>
  <c r="K39" i="2"/>
  <c r="N39"/>
  <c r="P39" s="1"/>
  <c r="M38" i="24"/>
  <c r="L38"/>
  <c r="J37" i="12"/>
  <c r="L52" i="20"/>
  <c r="M52"/>
  <c r="I51" i="12"/>
  <c r="K57" i="2"/>
  <c r="N57"/>
  <c r="P57" s="1"/>
  <c r="M56" i="24"/>
  <c r="L56"/>
  <c r="J55" i="12"/>
  <c r="L60" i="20"/>
  <c r="M60"/>
  <c r="I59" i="12"/>
  <c r="M72" i="24"/>
  <c r="L72"/>
  <c r="J71" i="12"/>
  <c r="L40" i="13"/>
  <c r="E52" i="18"/>
  <c r="E115"/>
  <c r="N44" i="2"/>
  <c r="P44" s="1"/>
  <c r="E7" i="18"/>
  <c r="K13" i="2"/>
  <c r="E22" i="18"/>
  <c r="K28" i="2"/>
  <c r="E129" i="18"/>
  <c r="E30"/>
  <c r="J45" i="11"/>
  <c r="E46" i="18"/>
  <c r="K64" i="2"/>
  <c r="E66" i="18"/>
  <c r="K72" i="2"/>
  <c r="E14" i="18"/>
  <c r="J44" i="11"/>
  <c r="E61" i="18"/>
  <c r="K67" i="2"/>
  <c r="E69" i="18"/>
  <c r="E57"/>
  <c r="E44"/>
  <c r="K50" i="2"/>
  <c r="K66"/>
  <c r="E68" i="18"/>
  <c r="K18" i="2"/>
  <c r="E20" i="18"/>
  <c r="E47"/>
  <c r="K65" i="2"/>
  <c r="E67" i="18"/>
  <c r="E54"/>
  <c r="E8"/>
  <c r="K14" i="2"/>
  <c r="E25" i="18"/>
  <c r="K31" i="2"/>
  <c r="E33" i="18"/>
  <c r="E51"/>
  <c r="E59"/>
  <c r="K8" i="2"/>
  <c r="N8"/>
  <c r="P8" s="1"/>
  <c r="L7" i="24"/>
  <c r="M7"/>
  <c r="J6" i="12"/>
  <c r="G23" i="18"/>
  <c r="F23"/>
  <c r="L24" i="20"/>
  <c r="M24"/>
  <c r="I23" i="12"/>
  <c r="K23" s="1"/>
  <c r="K33" i="2"/>
  <c r="N33"/>
  <c r="P33" s="1"/>
  <c r="M32" i="24"/>
  <c r="L32"/>
  <c r="J31" i="12"/>
  <c r="G39" i="18"/>
  <c r="F39"/>
  <c r="L40" i="20"/>
  <c r="M40"/>
  <c r="I39" i="12"/>
  <c r="K39" s="1"/>
  <c r="S10" i="15"/>
  <c r="I10"/>
  <c r="J10" s="1"/>
  <c r="V10" s="1"/>
  <c r="K9" i="26"/>
  <c r="J9"/>
  <c r="K36" i="22"/>
  <c r="J36"/>
  <c r="L8" i="25"/>
  <c r="M8"/>
  <c r="J7" i="13"/>
  <c r="M12" i="21"/>
  <c r="L12"/>
  <c r="I11" i="13"/>
  <c r="K11" s="1"/>
  <c r="L23" i="25"/>
  <c r="M23"/>
  <c r="J22" i="13"/>
  <c r="L27" i="21"/>
  <c r="M27"/>
  <c r="I26" i="13"/>
  <c r="K26" s="1"/>
  <c r="L31" i="24"/>
  <c r="M31"/>
  <c r="J30" i="12"/>
  <c r="M114" i="19"/>
  <c r="L114"/>
  <c r="C114" i="18"/>
  <c r="E114" s="1"/>
  <c r="H42" i="11"/>
  <c r="J42" s="1"/>
  <c r="K36" i="2"/>
  <c r="N36"/>
  <c r="P36" s="1"/>
  <c r="L35" i="24"/>
  <c r="M35"/>
  <c r="J34" i="12"/>
  <c r="F38" i="18"/>
  <c r="G38"/>
  <c r="M39" i="20"/>
  <c r="L39"/>
  <c r="I38" i="12"/>
  <c r="K38" s="1"/>
  <c r="K54" i="2"/>
  <c r="N54"/>
  <c r="P54" s="1"/>
  <c r="L53" i="24"/>
  <c r="M53"/>
  <c r="J52" i="12"/>
  <c r="F125" i="18"/>
  <c r="G125"/>
  <c r="F56"/>
  <c r="G56"/>
  <c r="L57" i="21"/>
  <c r="M57"/>
  <c r="I56" i="13"/>
  <c r="K56" s="1"/>
  <c r="M119" i="23"/>
  <c r="L119"/>
  <c r="D118" i="18"/>
  <c r="I46" i="11"/>
  <c r="F72" i="18"/>
  <c r="G72"/>
  <c r="L73" i="21"/>
  <c r="M73"/>
  <c r="I72" i="13"/>
  <c r="K72" s="1"/>
  <c r="S73" i="15"/>
  <c r="I73"/>
  <c r="J73" s="1"/>
  <c r="V73" s="1"/>
  <c r="J72" i="26"/>
  <c r="K72"/>
  <c r="M14" i="21"/>
  <c r="L14"/>
  <c r="I13" i="13"/>
  <c r="K13" s="1"/>
  <c r="E30" i="10"/>
  <c r="E31" s="1"/>
  <c r="H28"/>
  <c r="L137" i="23"/>
  <c r="M137"/>
  <c r="D136" i="18"/>
  <c r="J28" i="10"/>
  <c r="J30" s="1"/>
  <c r="L202" i="19"/>
  <c r="L203" s="1"/>
  <c r="K203"/>
  <c r="M202"/>
  <c r="M203" s="1"/>
  <c r="C205" i="18"/>
  <c r="I29" i="10"/>
  <c r="K29" s="1"/>
  <c r="M18" i="24"/>
  <c r="L18"/>
  <c r="J17" i="12"/>
  <c r="L44" i="20"/>
  <c r="M44"/>
  <c r="I43" i="12"/>
  <c r="K43" s="1"/>
  <c r="E57" i="1"/>
  <c r="L203" i="23"/>
  <c r="L204" s="1"/>
  <c r="K204"/>
  <c r="M203"/>
  <c r="M204" s="1"/>
  <c r="D202" i="18"/>
  <c r="D203" s="1"/>
  <c r="J23" i="10"/>
  <c r="L23" s="1"/>
  <c r="L47" i="21"/>
  <c r="M47"/>
  <c r="I46" i="13"/>
  <c r="K46" s="1"/>
  <c r="L63" i="25"/>
  <c r="M63"/>
  <c r="J62" i="13"/>
  <c r="L67" i="21"/>
  <c r="M67"/>
  <c r="I66" i="13"/>
  <c r="K66" s="1"/>
  <c r="L71" i="25"/>
  <c r="M71"/>
  <c r="J70" i="13"/>
  <c r="L15" i="21"/>
  <c r="M15"/>
  <c r="I14" i="13"/>
  <c r="K14" s="1"/>
  <c r="D92" i="11"/>
  <c r="D96" s="1"/>
  <c r="G91"/>
  <c r="L133" i="23"/>
  <c r="L134" s="1"/>
  <c r="K134"/>
  <c r="M133"/>
  <c r="M134" s="1"/>
  <c r="D132" i="18"/>
  <c r="D133" s="1"/>
  <c r="I91" i="11"/>
  <c r="I92" s="1"/>
  <c r="F18" i="18"/>
  <c r="G18"/>
  <c r="L19" i="20"/>
  <c r="M19"/>
  <c r="I18" i="12"/>
  <c r="K18" s="1"/>
  <c r="M46" i="24"/>
  <c r="L46"/>
  <c r="J45" i="12"/>
  <c r="F124" i="18"/>
  <c r="G124"/>
  <c r="G49"/>
  <c r="F49"/>
  <c r="M50" i="21"/>
  <c r="L50"/>
  <c r="I49" i="13"/>
  <c r="K49" s="1"/>
  <c r="M62" i="25"/>
  <c r="L62"/>
  <c r="J61" i="13"/>
  <c r="M66" i="21"/>
  <c r="L66"/>
  <c r="I65" i="13"/>
  <c r="K65" s="1"/>
  <c r="M70" i="25"/>
  <c r="L70"/>
  <c r="J69" i="13"/>
  <c r="K47" i="22"/>
  <c r="J47"/>
  <c r="S47" i="15"/>
  <c r="I47"/>
  <c r="J47" s="1"/>
  <c r="V47" s="1"/>
  <c r="J46" i="26"/>
  <c r="K46"/>
  <c r="K21" i="22"/>
  <c r="J21"/>
  <c r="S17" i="15"/>
  <c r="I17"/>
  <c r="J17" s="1"/>
  <c r="V17" s="1"/>
  <c r="J16" i="26"/>
  <c r="K16"/>
  <c r="AN29" i="10"/>
  <c r="AN30" s="1"/>
  <c r="D14" i="3" s="1"/>
  <c r="AM30" i="10"/>
  <c r="K66" i="22"/>
  <c r="J66"/>
  <c r="S70" i="15"/>
  <c r="I70"/>
  <c r="J70" s="1"/>
  <c r="V70" s="1"/>
  <c r="K69" i="26"/>
  <c r="J69"/>
  <c r="K68" i="22"/>
  <c r="J68"/>
  <c r="K49"/>
  <c r="J49"/>
  <c r="S51" i="15"/>
  <c r="I51"/>
  <c r="J51" s="1"/>
  <c r="V51" s="1"/>
  <c r="J50" i="26"/>
  <c r="K50"/>
  <c r="K61" i="22"/>
  <c r="J61"/>
  <c r="S45" i="15"/>
  <c r="I45"/>
  <c r="J45" s="1"/>
  <c r="V45" s="1"/>
  <c r="J44" i="26"/>
  <c r="K44"/>
  <c r="M22" i="21"/>
  <c r="L22"/>
  <c r="I21" i="13"/>
  <c r="K21" s="1"/>
  <c r="G6" i="11"/>
  <c r="D11"/>
  <c r="D15" s="1"/>
  <c r="K106" i="23"/>
  <c r="M101"/>
  <c r="M106" s="1"/>
  <c r="L101"/>
  <c r="L106" s="1"/>
  <c r="D100" i="18"/>
  <c r="D105" s="1"/>
  <c r="I6" i="11"/>
  <c r="I11" s="1"/>
  <c r="L194" i="19"/>
  <c r="M194"/>
  <c r="C197" i="18"/>
  <c r="E197" s="1"/>
  <c r="I13" i="10"/>
  <c r="K13" s="1"/>
  <c r="M196" i="23"/>
  <c r="L196"/>
  <c r="D195" i="18"/>
  <c r="J11" i="10"/>
  <c r="L22" i="19"/>
  <c r="M22"/>
  <c r="C21" i="18"/>
  <c r="E21" s="1"/>
  <c r="I7" i="10"/>
  <c r="L199" i="23"/>
  <c r="M199"/>
  <c r="D198" i="18"/>
  <c r="J14" i="10"/>
  <c r="F10" i="18"/>
  <c r="G10"/>
  <c r="L11" i="20"/>
  <c r="M11"/>
  <c r="I10" i="12"/>
  <c r="K10" s="1"/>
  <c r="K29" i="2"/>
  <c r="N29"/>
  <c r="P29" s="1"/>
  <c r="M28" i="24"/>
  <c r="L28"/>
  <c r="J27" i="12"/>
  <c r="G35" i="18"/>
  <c r="F35"/>
  <c r="L36" i="20"/>
  <c r="M36"/>
  <c r="I35" i="12"/>
  <c r="K35" s="1"/>
  <c r="M54" i="25"/>
  <c r="L54"/>
  <c r="J53" i="13"/>
  <c r="M58" i="21"/>
  <c r="L58"/>
  <c r="I57" i="13"/>
  <c r="K57" s="1"/>
  <c r="M74" i="25"/>
  <c r="L74"/>
  <c r="J73" i="13"/>
  <c r="M104" i="19"/>
  <c r="L104"/>
  <c r="C104" i="18"/>
  <c r="E104" s="1"/>
  <c r="H10" i="11"/>
  <c r="J10" s="1"/>
  <c r="M16" i="24"/>
  <c r="L16"/>
  <c r="J15" i="12"/>
  <c r="G19" i="18"/>
  <c r="F19"/>
  <c r="M20" i="20"/>
  <c r="L20"/>
  <c r="I19" i="12"/>
  <c r="K19" s="1"/>
  <c r="M42" i="24"/>
  <c r="L42"/>
  <c r="J41" i="12"/>
  <c r="L45" i="21"/>
  <c r="M45"/>
  <c r="I44" i="13"/>
  <c r="K44" s="1"/>
  <c r="L49" i="25"/>
  <c r="M49"/>
  <c r="J48" i="13"/>
  <c r="F60" i="18"/>
  <c r="G60"/>
  <c r="L61" i="21"/>
  <c r="M61"/>
  <c r="I60" i="13"/>
  <c r="K60" s="1"/>
  <c r="L65" i="25"/>
  <c r="M65"/>
  <c r="J64" i="13"/>
  <c r="L69" i="21"/>
  <c r="M69"/>
  <c r="I68" i="13"/>
  <c r="K68" s="1"/>
  <c r="L17" i="25"/>
  <c r="M17"/>
  <c r="J16" i="13"/>
  <c r="L21" i="21"/>
  <c r="M21"/>
  <c r="I20" i="13"/>
  <c r="K20" s="1"/>
  <c r="L43" i="25"/>
  <c r="M43"/>
  <c r="J42" i="13"/>
  <c r="M48" i="21"/>
  <c r="L48"/>
  <c r="I47" i="13"/>
  <c r="K47" s="1"/>
  <c r="M64" i="25"/>
  <c r="L64"/>
  <c r="J63" i="13"/>
  <c r="M68" i="21"/>
  <c r="L68"/>
  <c r="I67" i="13"/>
  <c r="K67" s="1"/>
  <c r="K11" i="2"/>
  <c r="N11"/>
  <c r="P11" s="1"/>
  <c r="M10" i="24"/>
  <c r="L10"/>
  <c r="J9" i="12"/>
  <c r="F24" i="18"/>
  <c r="G24"/>
  <c r="M25" i="20"/>
  <c r="L25"/>
  <c r="I24" i="12"/>
  <c r="K24" s="1"/>
  <c r="K30" i="2"/>
  <c r="N30"/>
  <c r="P30" s="1"/>
  <c r="L29" i="24"/>
  <c r="M29"/>
  <c r="J28" i="12"/>
  <c r="F32" i="18"/>
  <c r="G32"/>
  <c r="M33" i="20"/>
  <c r="L33"/>
  <c r="I32" i="12"/>
  <c r="K32" s="1"/>
  <c r="L37" i="25"/>
  <c r="M37"/>
  <c r="J36" i="13"/>
  <c r="L51" i="21"/>
  <c r="M51"/>
  <c r="I50" i="13"/>
  <c r="K50" s="1"/>
  <c r="E59" i="1"/>
  <c r="M138" i="23"/>
  <c r="L138"/>
  <c r="D137" i="18"/>
  <c r="J35" i="10"/>
  <c r="L35" s="1"/>
  <c r="L55" i="21"/>
  <c r="M55"/>
  <c r="I54" i="13"/>
  <c r="K54" s="1"/>
  <c r="L59" i="25"/>
  <c r="M59"/>
  <c r="J58" i="13"/>
  <c r="L9" i="21"/>
  <c r="M9"/>
  <c r="I8" i="13"/>
  <c r="K8" s="1"/>
  <c r="M13" i="25"/>
  <c r="L13"/>
  <c r="J12" i="13"/>
  <c r="M26" i="21"/>
  <c r="L26"/>
  <c r="I25" i="13"/>
  <c r="K25" s="1"/>
  <c r="M30" i="25"/>
  <c r="L30"/>
  <c r="J29" i="13"/>
  <c r="M34" i="21"/>
  <c r="L34"/>
  <c r="I33" i="13"/>
  <c r="K33" s="1"/>
  <c r="M38" i="25"/>
  <c r="L38"/>
  <c r="J37" i="13"/>
  <c r="M52" i="21"/>
  <c r="L52"/>
  <c r="I51" i="13"/>
  <c r="K51" s="1"/>
  <c r="M56" i="25"/>
  <c r="L56"/>
  <c r="J55" i="13"/>
  <c r="M60" i="21"/>
  <c r="L60"/>
  <c r="I59" i="13"/>
  <c r="K59" s="1"/>
  <c r="M72" i="25"/>
  <c r="L72"/>
  <c r="J71" i="13"/>
  <c r="L102" i="19"/>
  <c r="M102"/>
  <c r="C102" i="18"/>
  <c r="E102" s="1"/>
  <c r="H8" i="11"/>
  <c r="J8" s="1"/>
  <c r="L44"/>
  <c r="M44" s="1"/>
  <c r="O44" s="1"/>
  <c r="Q44" s="1"/>
  <c r="M51" i="2"/>
  <c r="N51" s="1"/>
  <c r="P51" s="1"/>
  <c r="K27" i="22"/>
  <c r="J27"/>
  <c r="S63" i="15"/>
  <c r="I63"/>
  <c r="J63" s="1"/>
  <c r="V63" s="1"/>
  <c r="J62" i="26"/>
  <c r="K62"/>
  <c r="K15" i="22"/>
  <c r="J15"/>
  <c r="G60" i="11"/>
  <c r="D65"/>
  <c r="D69" s="1"/>
  <c r="K127" i="23"/>
  <c r="L122"/>
  <c r="L127" s="1"/>
  <c r="M122"/>
  <c r="M127" s="1"/>
  <c r="D121" i="18"/>
  <c r="D126" s="1"/>
  <c r="I60" i="11"/>
  <c r="I65" s="1"/>
  <c r="M41" i="20"/>
  <c r="L41"/>
  <c r="I40" i="12"/>
  <c r="K40" s="1"/>
  <c r="D47" i="11"/>
  <c r="D51" s="1"/>
  <c r="G41"/>
  <c r="K120" i="23"/>
  <c r="L114"/>
  <c r="L120" s="1"/>
  <c r="M114"/>
  <c r="M120" s="1"/>
  <c r="D113" i="18"/>
  <c r="D119" s="1"/>
  <c r="I41" i="11"/>
  <c r="I47" s="1"/>
  <c r="L7" i="21"/>
  <c r="M7"/>
  <c r="I6" i="13"/>
  <c r="K6" s="1"/>
  <c r="M24" i="25"/>
  <c r="L24"/>
  <c r="J23" i="13"/>
  <c r="M32" i="21"/>
  <c r="L32"/>
  <c r="I31" i="13"/>
  <c r="K31" s="1"/>
  <c r="M40" i="25"/>
  <c r="L40"/>
  <c r="J39" i="13"/>
  <c r="K30" i="22"/>
  <c r="J30"/>
  <c r="S40" i="15"/>
  <c r="I40"/>
  <c r="J40" s="1"/>
  <c r="V40" s="1"/>
  <c r="K39" i="26"/>
  <c r="J39"/>
  <c r="K73" i="22"/>
  <c r="J73"/>
  <c r="K9" i="2"/>
  <c r="N9"/>
  <c r="P9" s="1"/>
  <c r="M8" i="24"/>
  <c r="L8"/>
  <c r="J7" i="12"/>
  <c r="M12" i="20"/>
  <c r="L12"/>
  <c r="I11" i="12"/>
  <c r="K11" s="1"/>
  <c r="K24" i="2"/>
  <c r="N24"/>
  <c r="P24" s="1"/>
  <c r="L23" i="24"/>
  <c r="M23"/>
  <c r="J22" i="12"/>
  <c r="M27" i="20"/>
  <c r="L27"/>
  <c r="I26" i="12"/>
  <c r="K26" s="1"/>
  <c r="L31" i="25"/>
  <c r="M31"/>
  <c r="J30" i="13"/>
  <c r="L35" i="21"/>
  <c r="M35"/>
  <c r="I34" i="13"/>
  <c r="K34" s="1"/>
  <c r="L39" i="25"/>
  <c r="M39"/>
  <c r="J38" i="13"/>
  <c r="L53" i="21"/>
  <c r="M53"/>
  <c r="I52" i="13"/>
  <c r="K52" s="1"/>
  <c r="L57" i="24"/>
  <c r="M57"/>
  <c r="J56" i="12"/>
  <c r="M103" i="19"/>
  <c r="L103"/>
  <c r="C103" i="18"/>
  <c r="E103" s="1"/>
  <c r="H9" i="11"/>
  <c r="J9" s="1"/>
  <c r="L73" i="24"/>
  <c r="M73"/>
  <c r="J72" i="12"/>
  <c r="AI28" i="11"/>
  <c r="G61" i="3"/>
  <c r="G75" s="1"/>
  <c r="M14" i="20"/>
  <c r="L14"/>
  <c r="I13" i="12"/>
  <c r="K13" s="1"/>
  <c r="L14" i="23"/>
  <c r="M14"/>
  <c r="D13" i="18"/>
  <c r="J15" i="2"/>
  <c r="J26" i="10"/>
  <c r="J31" s="1"/>
  <c r="M18" i="21"/>
  <c r="L18"/>
  <c r="I17" i="13"/>
  <c r="K17" s="1"/>
  <c r="M44" i="25"/>
  <c r="L44"/>
  <c r="J43" i="13"/>
  <c r="L44" i="19"/>
  <c r="M44"/>
  <c r="C43" i="18"/>
  <c r="E43" s="1"/>
  <c r="I45" i="2"/>
  <c r="I21" i="10"/>
  <c r="L47" i="24"/>
  <c r="M47"/>
  <c r="J46" i="12"/>
  <c r="M63" i="20"/>
  <c r="L63"/>
  <c r="I62" i="12"/>
  <c r="K62" s="1"/>
  <c r="L67" i="24"/>
  <c r="M67"/>
  <c r="J66" i="12"/>
  <c r="M71" i="20"/>
  <c r="L71"/>
  <c r="I70" i="12"/>
  <c r="K70" s="1"/>
  <c r="L15" i="24"/>
  <c r="M15"/>
  <c r="J14" i="12"/>
  <c r="L19" i="21"/>
  <c r="M19"/>
  <c r="I18" i="13"/>
  <c r="K18" s="1"/>
  <c r="M46" i="25"/>
  <c r="L46"/>
  <c r="J45" i="13"/>
  <c r="L50" i="20"/>
  <c r="M50"/>
  <c r="I49" i="12"/>
  <c r="K49" s="1"/>
  <c r="M62" i="24"/>
  <c r="L62"/>
  <c r="J61" i="12"/>
  <c r="L66" i="20"/>
  <c r="M66"/>
  <c r="I65" i="12"/>
  <c r="K65" s="1"/>
  <c r="M70" i="24"/>
  <c r="L70"/>
  <c r="J69" i="12"/>
  <c r="K71" i="22"/>
  <c r="J71"/>
  <c r="S71" i="15"/>
  <c r="I71"/>
  <c r="J71" s="1"/>
  <c r="V71" s="1"/>
  <c r="J70" i="26"/>
  <c r="K70"/>
  <c r="K65" i="22"/>
  <c r="J65"/>
  <c r="S65" i="15"/>
  <c r="I65"/>
  <c r="J65" s="1"/>
  <c r="V65" s="1"/>
  <c r="J64" i="26"/>
  <c r="K64"/>
  <c r="K43" i="22"/>
  <c r="J43"/>
  <c r="S43" i="15"/>
  <c r="I43"/>
  <c r="J43" s="1"/>
  <c r="V43" s="1"/>
  <c r="J42" i="26"/>
  <c r="K42"/>
  <c r="K45" i="22"/>
  <c r="J45"/>
  <c r="AX16" i="5"/>
  <c r="AV16"/>
  <c r="AK79" i="11"/>
  <c r="K41" i="3"/>
  <c r="K75" s="1"/>
  <c r="K13" i="22"/>
  <c r="J13"/>
  <c r="S35" i="15"/>
  <c r="I35"/>
  <c r="J35" s="1"/>
  <c r="V35" s="1"/>
  <c r="J34" i="26"/>
  <c r="K34"/>
  <c r="K19" i="22"/>
  <c r="J19"/>
  <c r="S68" i="15"/>
  <c r="I68"/>
  <c r="J68" s="1"/>
  <c r="V68" s="1"/>
  <c r="K67" i="26"/>
  <c r="J67"/>
  <c r="K18" i="22"/>
  <c r="J18"/>
  <c r="S18" i="15"/>
  <c r="I18"/>
  <c r="J18" s="1"/>
  <c r="V18" s="1"/>
  <c r="K17" i="26"/>
  <c r="J17"/>
  <c r="K20" i="22"/>
  <c r="J20"/>
  <c r="M22" i="24"/>
  <c r="L22"/>
  <c r="J21" i="12"/>
  <c r="L196" i="19"/>
  <c r="M196"/>
  <c r="C199" i="18"/>
  <c r="E199" s="1"/>
  <c r="I17" i="10"/>
  <c r="K17" s="1"/>
  <c r="L197" i="23"/>
  <c r="M197"/>
  <c r="D196" i="18"/>
  <c r="J12" i="10"/>
  <c r="M191" i="19"/>
  <c r="C194" i="18"/>
  <c r="K197" i="19"/>
  <c r="I23" i="2" s="1"/>
  <c r="L191" i="19"/>
  <c r="I10" i="10"/>
  <c r="L139" i="23"/>
  <c r="M139"/>
  <c r="D138" i="18"/>
  <c r="J15" i="10"/>
  <c r="L11" i="21"/>
  <c r="M11"/>
  <c r="I10" i="13"/>
  <c r="K10" s="1"/>
  <c r="M28" i="25"/>
  <c r="L28"/>
  <c r="J27" i="13"/>
  <c r="M36" i="21"/>
  <c r="L36"/>
  <c r="I35" i="13"/>
  <c r="K35" s="1"/>
  <c r="L110" i="23"/>
  <c r="M110"/>
  <c r="D109" i="18"/>
  <c r="I26" i="11"/>
  <c r="L54" i="20"/>
  <c r="M54"/>
  <c r="I53" i="12"/>
  <c r="K53" s="1"/>
  <c r="K59" i="2"/>
  <c r="N59"/>
  <c r="P59" s="1"/>
  <c r="M58" i="24"/>
  <c r="L58"/>
  <c r="J57" i="12"/>
  <c r="L74" i="20"/>
  <c r="M74"/>
  <c r="I73" i="12"/>
  <c r="K73" s="1"/>
  <c r="M16" i="25"/>
  <c r="L16"/>
  <c r="J15" i="13"/>
  <c r="M20" i="21"/>
  <c r="L20"/>
  <c r="I19" i="13"/>
  <c r="K19" s="1"/>
  <c r="M42" i="25"/>
  <c r="L42"/>
  <c r="J41" i="13"/>
  <c r="M108" i="19"/>
  <c r="L108"/>
  <c r="C108" i="18"/>
  <c r="E108" s="1"/>
  <c r="H25" i="11"/>
  <c r="J25" s="1"/>
  <c r="L45" i="24"/>
  <c r="M45"/>
  <c r="J44" i="12"/>
  <c r="M49" i="20"/>
  <c r="L49"/>
  <c r="I48" i="12"/>
  <c r="K48" s="1"/>
  <c r="G24" i="11"/>
  <c r="D28"/>
  <c r="D32" s="1"/>
  <c r="K111" i="19"/>
  <c r="L107"/>
  <c r="M107"/>
  <c r="C107" i="18"/>
  <c r="H24" i="11"/>
  <c r="L61" i="24"/>
  <c r="M61"/>
  <c r="J60" i="12"/>
  <c r="M65" i="20"/>
  <c r="L65"/>
  <c r="I64" i="12"/>
  <c r="K64" s="1"/>
  <c r="L69" i="24"/>
  <c r="M69"/>
  <c r="J68" i="12"/>
  <c r="L17" i="20"/>
  <c r="M17"/>
  <c r="I16" i="12"/>
  <c r="K16" s="1"/>
  <c r="L21" i="24"/>
  <c r="M21"/>
  <c r="J20" i="12"/>
  <c r="M43" i="20"/>
  <c r="L43"/>
  <c r="I42" i="12"/>
  <c r="K42" s="1"/>
  <c r="M48" i="24"/>
  <c r="L48"/>
  <c r="J47" i="12"/>
  <c r="L64" i="20"/>
  <c r="M64"/>
  <c r="I63" i="12"/>
  <c r="K63" s="1"/>
  <c r="M68" i="24"/>
  <c r="L68"/>
  <c r="J67" i="12"/>
  <c r="M10" i="21"/>
  <c r="L10"/>
  <c r="I9" i="13"/>
  <c r="K9" s="1"/>
  <c r="L25" i="25"/>
  <c r="M25"/>
  <c r="J24" i="13"/>
  <c r="L29" i="21"/>
  <c r="M29"/>
  <c r="I28" i="13"/>
  <c r="K28" s="1"/>
  <c r="L33" i="25"/>
  <c r="M33"/>
  <c r="J32" i="13"/>
  <c r="F101" i="18"/>
  <c r="G101"/>
  <c r="M37" i="20"/>
  <c r="L37"/>
  <c r="I36" i="12"/>
  <c r="K36" s="1"/>
  <c r="L51" i="24"/>
  <c r="M51"/>
  <c r="J50" i="12"/>
  <c r="M51" i="19"/>
  <c r="L51"/>
  <c r="C50" i="18"/>
  <c r="E50" s="1"/>
  <c r="I52" i="2"/>
  <c r="I33" i="10"/>
  <c r="K56" i="2"/>
  <c r="N56"/>
  <c r="P56" s="1"/>
  <c r="L55" i="24"/>
  <c r="M55"/>
  <c r="J54" i="12"/>
  <c r="M59" i="20"/>
  <c r="L59"/>
  <c r="I58" i="12"/>
  <c r="K58" s="1"/>
  <c r="L9" i="24"/>
  <c r="M9"/>
  <c r="J8" i="12"/>
  <c r="L13" i="20"/>
  <c r="M13"/>
  <c r="I12" i="12"/>
  <c r="K12" s="1"/>
  <c r="K27" i="2"/>
  <c r="N27"/>
  <c r="P27" s="1"/>
  <c r="M26" i="24"/>
  <c r="L26"/>
  <c r="J25" i="12"/>
  <c r="L30" i="20"/>
  <c r="M30"/>
  <c r="I29" i="12"/>
  <c r="K29" s="1"/>
  <c r="M34" i="24"/>
  <c r="L34"/>
  <c r="J33" i="12"/>
  <c r="L38" i="20"/>
  <c r="M38"/>
  <c r="I37" i="12"/>
  <c r="K37" s="1"/>
  <c r="K53" i="2"/>
  <c r="N53"/>
  <c r="P53" s="1"/>
  <c r="M52" i="24"/>
  <c r="L52"/>
  <c r="J51" i="12"/>
  <c r="L56" i="20"/>
  <c r="M56"/>
  <c r="I55" i="12"/>
  <c r="K55" s="1"/>
  <c r="K61" i="2"/>
  <c r="N61"/>
  <c r="P61" s="1"/>
  <c r="M60" i="24"/>
  <c r="L60"/>
  <c r="J59" i="12"/>
  <c r="L72" i="20"/>
  <c r="M72"/>
  <c r="I71" i="12"/>
  <c r="K71" s="1"/>
  <c r="AX76" i="5"/>
  <c r="AV76"/>
  <c r="H74" i="26"/>
  <c r="I74" s="1"/>
  <c r="H74" i="22"/>
  <c r="I74" s="1"/>
  <c r="G75" i="15"/>
  <c r="L6" i="12"/>
  <c r="L31"/>
  <c r="L7" i="13"/>
  <c r="L22"/>
  <c r="L30" i="12"/>
  <c r="L34"/>
  <c r="L52"/>
  <c r="K46" i="11"/>
  <c r="L17" i="12"/>
  <c r="L62" i="13"/>
  <c r="L70"/>
  <c r="L45" i="12"/>
  <c r="L61" i="13"/>
  <c r="L69"/>
  <c r="L11" i="10"/>
  <c r="L14"/>
  <c r="L27" i="12"/>
  <c r="L53" i="13"/>
  <c r="L73"/>
  <c r="L15" i="12"/>
  <c r="L41"/>
  <c r="J43" i="11"/>
  <c r="L48" i="13"/>
  <c r="L64"/>
  <c r="L16"/>
  <c r="L42"/>
  <c r="L63"/>
  <c r="L9" i="12"/>
  <c r="L28"/>
  <c r="L36" i="13"/>
  <c r="L58"/>
  <c r="L12"/>
  <c r="L29"/>
  <c r="L37"/>
  <c r="L55"/>
  <c r="L71"/>
  <c r="N40" i="2"/>
  <c r="P40" s="1"/>
  <c r="K64" i="11"/>
  <c r="N17" i="2"/>
  <c r="P17" s="1"/>
  <c r="N20"/>
  <c r="P20" s="1"/>
  <c r="K62" i="11"/>
  <c r="L23" i="13"/>
  <c r="L39"/>
  <c r="L7" i="12"/>
  <c r="E11" i="18"/>
  <c r="L22" i="12"/>
  <c r="E26" i="18"/>
  <c r="J78" i="11"/>
  <c r="I32" i="2"/>
  <c r="L30" i="13"/>
  <c r="L38"/>
  <c r="E117" i="18"/>
  <c r="J58" i="2"/>
  <c r="K58" s="1"/>
  <c r="L56" i="12"/>
  <c r="L72"/>
  <c r="L26" i="10"/>
  <c r="L43" i="13"/>
  <c r="K48" i="2"/>
  <c r="L46" i="12"/>
  <c r="E62" i="18"/>
  <c r="K68" i="2"/>
  <c r="L66" i="12"/>
  <c r="E70" i="18"/>
  <c r="K16" i="2"/>
  <c r="L14" i="12"/>
  <c r="L45" i="13"/>
  <c r="E116" i="18"/>
  <c r="K63" i="2"/>
  <c r="L61" i="12"/>
  <c r="E65" i="18"/>
  <c r="K71" i="2"/>
  <c r="L69" i="12"/>
  <c r="AK38" i="10"/>
  <c r="AQ16" i="5"/>
  <c r="L21" i="12"/>
  <c r="L12" i="10"/>
  <c r="L15"/>
  <c r="P15" s="1"/>
  <c r="R15" s="1"/>
  <c r="T15" s="1"/>
  <c r="L27" i="13"/>
  <c r="K26" i="11"/>
  <c r="E53" i="18"/>
  <c r="L57" i="12"/>
  <c r="E73" i="18"/>
  <c r="L15" i="13"/>
  <c r="L41"/>
  <c r="K46" i="2"/>
  <c r="L44" i="12"/>
  <c r="E48" i="18"/>
  <c r="L60" i="12"/>
  <c r="E64" i="18"/>
  <c r="K70" i="2"/>
  <c r="L68" i="12"/>
  <c r="E16" i="18"/>
  <c r="K22" i="2"/>
  <c r="L20" i="12"/>
  <c r="K49" i="2"/>
  <c r="L47" i="12"/>
  <c r="E63" i="18"/>
  <c r="K69" i="2"/>
  <c r="L67" i="12"/>
  <c r="L24" i="13"/>
  <c r="L32"/>
  <c r="E36" i="18"/>
  <c r="L50" i="12"/>
  <c r="L54"/>
  <c r="E58" i="18"/>
  <c r="K10" i="2"/>
  <c r="L8" i="12"/>
  <c r="E12" i="18"/>
  <c r="L25" i="12"/>
  <c r="E29" i="18"/>
  <c r="K35" i="2"/>
  <c r="L33" i="12"/>
  <c r="E37" i="18"/>
  <c r="L51" i="12"/>
  <c r="E55" i="18"/>
  <c r="L59" i="12"/>
  <c r="E71" i="18"/>
  <c r="AQ76" i="5"/>
  <c r="M197" i="19" l="1"/>
  <c r="K23" i="2"/>
  <c r="S44" i="11"/>
  <c r="T44" s="1"/>
  <c r="AK44" s="1"/>
  <c r="AJ44"/>
  <c r="N23" i="10"/>
  <c r="M23"/>
  <c r="L45" i="2"/>
  <c r="S43" i="11"/>
  <c r="T43" s="1"/>
  <c r="AK43" s="1"/>
  <c r="AJ43"/>
  <c r="R51" i="2"/>
  <c r="S51" s="1"/>
  <c r="C50" i="3" s="1"/>
  <c r="P50" s="1"/>
  <c r="AB50" s="1"/>
  <c r="U51" i="2"/>
  <c r="C50" i="4" s="1"/>
  <c r="P50" s="1"/>
  <c r="AB50" s="1"/>
  <c r="P35" i="10"/>
  <c r="R35" s="1"/>
  <c r="T35" s="1"/>
  <c r="L52" i="2"/>
  <c r="S45" i="11"/>
  <c r="T45" s="1"/>
  <c r="AK45" s="1"/>
  <c r="AJ45"/>
  <c r="AJ63"/>
  <c r="S63"/>
  <c r="T63" s="1"/>
  <c r="AK63" s="1"/>
  <c r="G55" i="18"/>
  <c r="F55"/>
  <c r="M8" i="12"/>
  <c r="N8" s="1"/>
  <c r="P8" s="1"/>
  <c r="M50"/>
  <c r="N50" s="1"/>
  <c r="P50" s="1"/>
  <c r="R50" s="1"/>
  <c r="M67"/>
  <c r="N67" s="1"/>
  <c r="P67" s="1"/>
  <c r="R67" s="1"/>
  <c r="M68"/>
  <c r="N68" s="1"/>
  <c r="P68" s="1"/>
  <c r="R68" s="1"/>
  <c r="F48" i="18"/>
  <c r="G48"/>
  <c r="M15" i="13"/>
  <c r="N15" s="1"/>
  <c r="P15" s="1"/>
  <c r="R15" s="1"/>
  <c r="M57" i="12"/>
  <c r="N57" s="1"/>
  <c r="P57" s="1"/>
  <c r="R57" s="1"/>
  <c r="L26" i="11"/>
  <c r="M37" i="2"/>
  <c r="N37" s="1"/>
  <c r="P37" s="1"/>
  <c r="M26" i="11"/>
  <c r="O26" s="1"/>
  <c r="Q26" s="1"/>
  <c r="AO15" i="10"/>
  <c r="V15"/>
  <c r="W15" s="1"/>
  <c r="AP15" s="1"/>
  <c r="M21" i="12"/>
  <c r="N21" s="1"/>
  <c r="P21" s="1"/>
  <c r="M61"/>
  <c r="N61" s="1"/>
  <c r="P61" s="1"/>
  <c r="R61" s="1"/>
  <c r="G116" i="18"/>
  <c r="F116"/>
  <c r="M14" i="12"/>
  <c r="N14" s="1"/>
  <c r="P14" s="1"/>
  <c r="F70" i="18"/>
  <c r="G70"/>
  <c r="M46" i="12"/>
  <c r="N46" s="1"/>
  <c r="P46" s="1"/>
  <c r="R46" s="1"/>
  <c r="M43" i="13"/>
  <c r="N43" s="1"/>
  <c r="P43" s="1"/>
  <c r="R43" s="1"/>
  <c r="M72" i="12"/>
  <c r="N72" s="1"/>
  <c r="P72" s="1"/>
  <c r="R72" s="1"/>
  <c r="M38" i="13"/>
  <c r="N38" s="1"/>
  <c r="P38" s="1"/>
  <c r="R38" s="1"/>
  <c r="K32" i="2"/>
  <c r="F26" i="18"/>
  <c r="G26"/>
  <c r="G11"/>
  <c r="F11"/>
  <c r="M39" i="13"/>
  <c r="N39" s="1"/>
  <c r="P39" s="1"/>
  <c r="R39" s="1"/>
  <c r="R20" i="2"/>
  <c r="S20" s="1"/>
  <c r="C19" i="3" s="1"/>
  <c r="P19" s="1"/>
  <c r="AB19" s="1"/>
  <c r="U20" i="2"/>
  <c r="C19" i="4" s="1"/>
  <c r="P19" s="1"/>
  <c r="AB19" s="1"/>
  <c r="U17" i="2"/>
  <c r="C16" i="4" s="1"/>
  <c r="P16" s="1"/>
  <c r="AB16" s="1"/>
  <c r="R17" i="2"/>
  <c r="S17" s="1"/>
  <c r="C16" i="3" s="1"/>
  <c r="P16" s="1"/>
  <c r="AB16" s="1"/>
  <c r="L64" i="11"/>
  <c r="M64" s="1"/>
  <c r="O64" s="1"/>
  <c r="Q64" s="1"/>
  <c r="U40" i="2"/>
  <c r="C39" i="4" s="1"/>
  <c r="P39" s="1"/>
  <c r="AB39" s="1"/>
  <c r="R40" i="2"/>
  <c r="S40" s="1"/>
  <c r="C39" i="3" s="1"/>
  <c r="P39" s="1"/>
  <c r="AB39" s="1"/>
  <c r="M55" i="13"/>
  <c r="N55" s="1"/>
  <c r="P55" s="1"/>
  <c r="R55" s="1"/>
  <c r="M29"/>
  <c r="N29" s="1"/>
  <c r="P29" s="1"/>
  <c r="R29" s="1"/>
  <c r="M58"/>
  <c r="N58" s="1"/>
  <c r="P58" s="1"/>
  <c r="R58" s="1"/>
  <c r="M28" i="12"/>
  <c r="N28" s="1"/>
  <c r="P28" s="1"/>
  <c r="R28" s="1"/>
  <c r="M63" i="13"/>
  <c r="N63" s="1"/>
  <c r="P63" s="1"/>
  <c r="R63" s="1"/>
  <c r="M16"/>
  <c r="N16" s="1"/>
  <c r="P16" s="1"/>
  <c r="R16" s="1"/>
  <c r="M48"/>
  <c r="N48" s="1"/>
  <c r="P48" s="1"/>
  <c r="R48" s="1"/>
  <c r="M41" i="12"/>
  <c r="N41" s="1"/>
  <c r="P41" s="1"/>
  <c r="R41" s="1"/>
  <c r="M73" i="13"/>
  <c r="N73" s="1"/>
  <c r="P73" s="1"/>
  <c r="R73" s="1"/>
  <c r="M27" i="12"/>
  <c r="N27" s="1"/>
  <c r="P27" s="1"/>
  <c r="R27" s="1"/>
  <c r="M11" i="10"/>
  <c r="N11"/>
  <c r="M61" i="13"/>
  <c r="N61" s="1"/>
  <c r="P61" s="1"/>
  <c r="R61" s="1"/>
  <c r="M70"/>
  <c r="N70" s="1"/>
  <c r="P70" s="1"/>
  <c r="R70" s="1"/>
  <c r="M17" i="12"/>
  <c r="N17" s="1"/>
  <c r="P17" s="1"/>
  <c r="L46" i="11"/>
  <c r="M46" s="1"/>
  <c r="O46" s="1"/>
  <c r="Q46" s="1"/>
  <c r="M58" i="2"/>
  <c r="N58" s="1"/>
  <c r="P58" s="1"/>
  <c r="M34" i="12"/>
  <c r="N34" s="1"/>
  <c r="P34" s="1"/>
  <c r="R34" s="1"/>
  <c r="M22" i="13"/>
  <c r="N22" s="1"/>
  <c r="P22" s="1"/>
  <c r="R22" s="1"/>
  <c r="M6" i="12"/>
  <c r="N6" s="1"/>
  <c r="P6" s="1"/>
  <c r="K74" i="22"/>
  <c r="J74"/>
  <c r="U61" i="2"/>
  <c r="C60" i="4" s="1"/>
  <c r="P60" s="1"/>
  <c r="AB60" s="1"/>
  <c r="R61" i="2"/>
  <c r="S61" s="1"/>
  <c r="C60" i="3" s="1"/>
  <c r="P60" s="1"/>
  <c r="AB60" s="1"/>
  <c r="U53" i="2"/>
  <c r="C52" i="4" s="1"/>
  <c r="P52" s="1"/>
  <c r="AB52" s="1"/>
  <c r="R53" i="2"/>
  <c r="S53" s="1"/>
  <c r="C52" i="3" s="1"/>
  <c r="P52" s="1"/>
  <c r="AB52" s="1"/>
  <c r="U27" i="2"/>
  <c r="C26" i="4" s="1"/>
  <c r="P26" s="1"/>
  <c r="AB26" s="1"/>
  <c r="R27" i="2"/>
  <c r="S27" s="1"/>
  <c r="C26" i="3" s="1"/>
  <c r="P26" s="1"/>
  <c r="AB26" s="1"/>
  <c r="U56" i="2"/>
  <c r="C55" i="4" s="1"/>
  <c r="P55" s="1"/>
  <c r="AB55" s="1"/>
  <c r="R56" i="2"/>
  <c r="S56" s="1"/>
  <c r="C55" i="3" s="1"/>
  <c r="P55" s="1"/>
  <c r="AB55" s="1"/>
  <c r="I36" i="10"/>
  <c r="K33"/>
  <c r="F50" i="18"/>
  <c r="G50"/>
  <c r="J24" i="11"/>
  <c r="K24"/>
  <c r="G28"/>
  <c r="G32" s="1"/>
  <c r="F108" i="18"/>
  <c r="G108"/>
  <c r="U59" i="2"/>
  <c r="C58" i="4" s="1"/>
  <c r="P58" s="1"/>
  <c r="AB58" s="1"/>
  <c r="R59" i="2"/>
  <c r="S59" s="1"/>
  <c r="C58" i="3" s="1"/>
  <c r="P58" s="1"/>
  <c r="AB58" s="1"/>
  <c r="I18" i="10"/>
  <c r="K10"/>
  <c r="F199" i="18"/>
  <c r="G199"/>
  <c r="K45" i="2"/>
  <c r="N45"/>
  <c r="P45" s="1"/>
  <c r="F103" i="18"/>
  <c r="G103"/>
  <c r="R24" i="2"/>
  <c r="S24" s="1"/>
  <c r="C23" i="3" s="1"/>
  <c r="P23" s="1"/>
  <c r="AB23" s="1"/>
  <c r="U24" i="2"/>
  <c r="C23" i="4" s="1"/>
  <c r="P23" s="1"/>
  <c r="AB23" s="1"/>
  <c r="R9" i="2"/>
  <c r="S9" s="1"/>
  <c r="C8" i="3" s="1"/>
  <c r="P8" s="1"/>
  <c r="AB8" s="1"/>
  <c r="U9" i="2"/>
  <c r="C8" i="4" s="1"/>
  <c r="P8" s="1"/>
  <c r="AB8" s="1"/>
  <c r="K60" i="11"/>
  <c r="G65"/>
  <c r="G59" i="1"/>
  <c r="H59"/>
  <c r="R30" i="2"/>
  <c r="S30" s="1"/>
  <c r="C29" i="3" s="1"/>
  <c r="P29" s="1"/>
  <c r="AB29" s="1"/>
  <c r="U30" i="2"/>
  <c r="C29" i="4" s="1"/>
  <c r="P29" s="1"/>
  <c r="AB29" s="1"/>
  <c r="R11" i="2"/>
  <c r="S11" s="1"/>
  <c r="C10" i="3" s="1"/>
  <c r="P10" s="1"/>
  <c r="AB10" s="1"/>
  <c r="U11" i="2"/>
  <c r="C10" i="4" s="1"/>
  <c r="P10" s="1"/>
  <c r="AB10" s="1"/>
  <c r="G21" i="18"/>
  <c r="F21"/>
  <c r="F197"/>
  <c r="G197"/>
  <c r="G92" i="11"/>
  <c r="G96" s="1"/>
  <c r="K91"/>
  <c r="G57" i="1"/>
  <c r="H57"/>
  <c r="G114" i="18"/>
  <c r="F114"/>
  <c r="R33" i="2"/>
  <c r="S33" s="1"/>
  <c r="C32" i="3" s="1"/>
  <c r="P32" s="1"/>
  <c r="AB32" s="1"/>
  <c r="U33" i="2"/>
  <c r="C32" i="4" s="1"/>
  <c r="P32" s="1"/>
  <c r="AB32" s="1"/>
  <c r="U8" i="2"/>
  <c r="C7" i="4" s="1"/>
  <c r="P7" s="1"/>
  <c r="AB7" s="1"/>
  <c r="R8" i="2"/>
  <c r="S8" s="1"/>
  <c r="C7" i="3" s="1"/>
  <c r="P7" s="1"/>
  <c r="AB7" s="1"/>
  <c r="G59" i="18"/>
  <c r="F59"/>
  <c r="G51"/>
  <c r="F51"/>
  <c r="G33"/>
  <c r="F33"/>
  <c r="F8"/>
  <c r="G8"/>
  <c r="F54"/>
  <c r="G54"/>
  <c r="G67"/>
  <c r="F67"/>
  <c r="F68"/>
  <c r="G68"/>
  <c r="G61"/>
  <c r="F61"/>
  <c r="F14"/>
  <c r="G14"/>
  <c r="F46"/>
  <c r="G46"/>
  <c r="G129"/>
  <c r="F129"/>
  <c r="G7"/>
  <c r="F7"/>
  <c r="F115"/>
  <c r="G115"/>
  <c r="F52"/>
  <c r="G52"/>
  <c r="L33" i="10"/>
  <c r="L36" s="1"/>
  <c r="H36"/>
  <c r="M110" i="19"/>
  <c r="L110"/>
  <c r="C110" i="18"/>
  <c r="H27" i="11"/>
  <c r="H28" s="1"/>
  <c r="R55" i="2"/>
  <c r="S55" s="1"/>
  <c r="C54" i="3" s="1"/>
  <c r="P54" s="1"/>
  <c r="AB54" s="1"/>
  <c r="U55" i="2"/>
  <c r="C54" i="4" s="1"/>
  <c r="P54" s="1"/>
  <c r="AB54" s="1"/>
  <c r="E38" i="10"/>
  <c r="E19"/>
  <c r="K14" i="22"/>
  <c r="J14"/>
  <c r="G26" i="1"/>
  <c r="H26"/>
  <c r="J41" i="11"/>
  <c r="H47"/>
  <c r="H65"/>
  <c r="J60"/>
  <c r="J65" s="1"/>
  <c r="AJ7"/>
  <c r="S7"/>
  <c r="T7" s="1"/>
  <c r="AK7" s="1"/>
  <c r="U34" i="2"/>
  <c r="C33" i="4" s="1"/>
  <c r="P33" s="1"/>
  <c r="AB33" s="1"/>
  <c r="R34" i="2"/>
  <c r="S34" s="1"/>
  <c r="C33" i="3" s="1"/>
  <c r="P33" s="1"/>
  <c r="AB33" s="1"/>
  <c r="R26" i="2"/>
  <c r="S26" s="1"/>
  <c r="C25" i="3" s="1"/>
  <c r="P25" s="1"/>
  <c r="AB25" s="1"/>
  <c r="U26" i="2"/>
  <c r="C25" i="4" s="1"/>
  <c r="P25" s="1"/>
  <c r="AB25" s="1"/>
  <c r="H11" i="11"/>
  <c r="J6"/>
  <c r="J11" s="1"/>
  <c r="E36" i="1"/>
  <c r="K7" i="15"/>
  <c r="AS77" i="5"/>
  <c r="AT8"/>
  <c r="E132" i="18"/>
  <c r="C133"/>
  <c r="C203"/>
  <c r="E202"/>
  <c r="M156" i="23"/>
  <c r="L156"/>
  <c r="D155" i="18"/>
  <c r="J60" i="9"/>
  <c r="L150" i="19"/>
  <c r="M150"/>
  <c r="C153" i="18"/>
  <c r="I61" i="9"/>
  <c r="M192" i="23"/>
  <c r="L192"/>
  <c r="D191" i="18"/>
  <c r="J55" i="9"/>
  <c r="M185" i="19"/>
  <c r="L185"/>
  <c r="C188" i="18"/>
  <c r="I53" i="9"/>
  <c r="L187" i="23"/>
  <c r="M187"/>
  <c r="D186" i="18"/>
  <c r="J51" i="9"/>
  <c r="M181" i="19"/>
  <c r="L181"/>
  <c r="C184" i="18"/>
  <c r="I49" i="9"/>
  <c r="L183" i="23"/>
  <c r="M183"/>
  <c r="D182" i="18"/>
  <c r="J47" i="9"/>
  <c r="M177" i="19"/>
  <c r="L177"/>
  <c r="C180" i="18"/>
  <c r="I45" i="9"/>
  <c r="L179" i="23"/>
  <c r="M179"/>
  <c r="D178" i="18"/>
  <c r="J43" i="9"/>
  <c r="M173" i="19"/>
  <c r="L173"/>
  <c r="C176" i="18"/>
  <c r="I41" i="9"/>
  <c r="L165" i="23"/>
  <c r="M165"/>
  <c r="D164" i="18"/>
  <c r="J28" i="9"/>
  <c r="M159" i="19"/>
  <c r="L159"/>
  <c r="C162" i="18"/>
  <c r="I26" i="9"/>
  <c r="L161" i="23"/>
  <c r="M161"/>
  <c r="D160" i="18"/>
  <c r="J24" i="9"/>
  <c r="M155" i="19"/>
  <c r="L155"/>
  <c r="C158" i="18"/>
  <c r="I22" i="9"/>
  <c r="L157" i="23"/>
  <c r="M157"/>
  <c r="D156" i="18"/>
  <c r="J20" i="9"/>
  <c r="L148" i="19"/>
  <c r="M148"/>
  <c r="C151" i="18"/>
  <c r="I18" i="9"/>
  <c r="M150" i="23"/>
  <c r="L150"/>
  <c r="D149" i="18"/>
  <c r="J16" i="9"/>
  <c r="L142" i="19"/>
  <c r="M142"/>
  <c r="C145" i="18"/>
  <c r="I14" i="9"/>
  <c r="M144" i="23"/>
  <c r="L144"/>
  <c r="D143" i="18"/>
  <c r="J12" i="9"/>
  <c r="L132" i="19"/>
  <c r="K137"/>
  <c r="M132"/>
  <c r="C135" i="18"/>
  <c r="I8" i="9"/>
  <c r="L155" i="23"/>
  <c r="M155"/>
  <c r="D154" i="18"/>
  <c r="J59" i="9"/>
  <c r="M171" i="19"/>
  <c r="L171"/>
  <c r="C174" i="18"/>
  <c r="I39" i="9"/>
  <c r="M173" i="23"/>
  <c r="L173"/>
  <c r="D172" i="18"/>
  <c r="J37" i="9"/>
  <c r="M167" i="19"/>
  <c r="L167"/>
  <c r="C170" i="18"/>
  <c r="I35" i="9"/>
  <c r="M140" i="23"/>
  <c r="L140"/>
  <c r="D139" i="18"/>
  <c r="J33" i="9"/>
  <c r="L164" i="19"/>
  <c r="M164"/>
  <c r="C167" i="18"/>
  <c r="I31" i="9"/>
  <c r="M166" i="23"/>
  <c r="L166"/>
  <c r="D165" i="18"/>
  <c r="J29" i="9"/>
  <c r="C130" i="18"/>
  <c r="E128"/>
  <c r="L144" i="19"/>
  <c r="M144"/>
  <c r="C147" i="18"/>
  <c r="I58" i="9"/>
  <c r="L147" i="23"/>
  <c r="M147"/>
  <c r="D146" i="18"/>
  <c r="J57" i="9"/>
  <c r="L186" i="19"/>
  <c r="C189" i="18"/>
  <c r="M186" i="19"/>
  <c r="I54" i="9"/>
  <c r="M188" i="23"/>
  <c r="L188"/>
  <c r="D187" i="18"/>
  <c r="J52" i="9"/>
  <c r="L182" i="19"/>
  <c r="C185" i="18"/>
  <c r="M182" i="19"/>
  <c r="I50" i="9"/>
  <c r="M184" i="23"/>
  <c r="L184"/>
  <c r="D183" i="18"/>
  <c r="J48" i="9"/>
  <c r="L178" i="19"/>
  <c r="C181" i="18"/>
  <c r="M178" i="19"/>
  <c r="I46" i="9"/>
  <c r="M180" i="23"/>
  <c r="L180"/>
  <c r="D179" i="18"/>
  <c r="J44" i="9"/>
  <c r="L174" i="19"/>
  <c r="C177" i="18"/>
  <c r="M174" i="19"/>
  <c r="I42" i="9"/>
  <c r="M176" i="23"/>
  <c r="L176"/>
  <c r="D175" i="18"/>
  <c r="J40" i="9"/>
  <c r="L160" i="19"/>
  <c r="M160"/>
  <c r="C163" i="18"/>
  <c r="I27" i="9"/>
  <c r="M162" i="23"/>
  <c r="L162"/>
  <c r="D161" i="18"/>
  <c r="J25" i="9"/>
  <c r="L156" i="19"/>
  <c r="M156"/>
  <c r="C159" i="18"/>
  <c r="I23" i="9"/>
  <c r="M158" i="23"/>
  <c r="L158"/>
  <c r="D157" i="18"/>
  <c r="J21" i="9"/>
  <c r="M149" i="19"/>
  <c r="L149"/>
  <c r="C152" i="18"/>
  <c r="I19" i="9"/>
  <c r="L151" i="23"/>
  <c r="M151"/>
  <c r="D150" i="18"/>
  <c r="J17" i="9"/>
  <c r="M145" i="19"/>
  <c r="L145"/>
  <c r="C148" i="18"/>
  <c r="I15" i="9"/>
  <c r="L145" i="23"/>
  <c r="M145"/>
  <c r="D144" i="18"/>
  <c r="J13" i="9"/>
  <c r="M139" i="19"/>
  <c r="K189"/>
  <c r="L139"/>
  <c r="C142" i="18"/>
  <c r="I11" i="9"/>
  <c r="M41" i="23"/>
  <c r="L41"/>
  <c r="D40" i="18"/>
  <c r="J6" i="9"/>
  <c r="M187" i="19"/>
  <c r="L187"/>
  <c r="C190" i="18"/>
  <c r="I56" i="9"/>
  <c r="M174" i="23"/>
  <c r="L174"/>
  <c r="D173" i="18"/>
  <c r="J38" i="9"/>
  <c r="L168" i="19"/>
  <c r="C171" i="18"/>
  <c r="M168" i="19"/>
  <c r="I36" i="9"/>
  <c r="M170" i="23"/>
  <c r="L170"/>
  <c r="D169" i="18"/>
  <c r="J34" i="9"/>
  <c r="M165" i="19"/>
  <c r="L165"/>
  <c r="C168" i="18"/>
  <c r="I32" i="9"/>
  <c r="L167" i="23"/>
  <c r="M167"/>
  <c r="D166" i="18"/>
  <c r="J30" i="9"/>
  <c r="G79" i="11"/>
  <c r="G83" s="1"/>
  <c r="K77"/>
  <c r="M111" i="19"/>
  <c r="L12" i="12"/>
  <c r="L28" i="13"/>
  <c r="L42" i="12"/>
  <c r="L16"/>
  <c r="K25" i="11"/>
  <c r="L73" i="12"/>
  <c r="L53"/>
  <c r="L10" i="13"/>
  <c r="L65" i="12"/>
  <c r="L62"/>
  <c r="L13"/>
  <c r="L52" i="13"/>
  <c r="L34"/>
  <c r="L11" i="12"/>
  <c r="L6" i="13"/>
  <c r="L59"/>
  <c r="L33"/>
  <c r="L8"/>
  <c r="L50"/>
  <c r="L24" i="12"/>
  <c r="L47" i="13"/>
  <c r="L68"/>
  <c r="L19" i="12"/>
  <c r="L57" i="13"/>
  <c r="L10" i="12"/>
  <c r="L13" i="10"/>
  <c r="L49" i="13"/>
  <c r="L14"/>
  <c r="L46"/>
  <c r="L29" i="10"/>
  <c r="L72" i="13"/>
  <c r="K42" i="11"/>
  <c r="L11" i="13"/>
  <c r="L23" i="12"/>
  <c r="K41" i="13"/>
  <c r="K15"/>
  <c r="K57" i="12"/>
  <c r="J26" i="11"/>
  <c r="E138" i="18"/>
  <c r="D200"/>
  <c r="L201" i="23"/>
  <c r="K12" i="10"/>
  <c r="E196" i="18"/>
  <c r="K21" i="12"/>
  <c r="AM38" i="10"/>
  <c r="K69" i="12"/>
  <c r="K61"/>
  <c r="K45" i="13"/>
  <c r="K14" i="12"/>
  <c r="K66"/>
  <c r="K46"/>
  <c r="J24" i="10"/>
  <c r="K43" i="13"/>
  <c r="K15" i="2"/>
  <c r="E13" i="18"/>
  <c r="K72" i="12"/>
  <c r="K39" i="13"/>
  <c r="K23"/>
  <c r="M119" i="19"/>
  <c r="L119"/>
  <c r="E137" i="18"/>
  <c r="K36" i="13"/>
  <c r="K28" i="12"/>
  <c r="K9"/>
  <c r="K63" i="13"/>
  <c r="K42"/>
  <c r="K16"/>
  <c r="K64"/>
  <c r="K48"/>
  <c r="K41" i="12"/>
  <c r="K15"/>
  <c r="K11" i="10"/>
  <c r="L105" i="19"/>
  <c r="E136" i="18"/>
  <c r="E118"/>
  <c r="K52" i="12"/>
  <c r="K34"/>
  <c r="K40" i="13"/>
  <c r="G71" i="18"/>
  <c r="F71"/>
  <c r="G37"/>
  <c r="F37"/>
  <c r="M25" i="12"/>
  <c r="N25" s="1"/>
  <c r="P25" s="1"/>
  <c r="F58" i="18"/>
  <c r="G58"/>
  <c r="M32" i="13"/>
  <c r="N32" s="1"/>
  <c r="P32" s="1"/>
  <c r="R32" s="1"/>
  <c r="G63" i="18"/>
  <c r="F63"/>
  <c r="F64"/>
  <c r="G64"/>
  <c r="M59" i="12"/>
  <c r="N59" s="1"/>
  <c r="P59" s="1"/>
  <c r="R59" s="1"/>
  <c r="M51"/>
  <c r="N51" s="1"/>
  <c r="P51" s="1"/>
  <c r="R51" s="1"/>
  <c r="M33"/>
  <c r="N33" s="1"/>
  <c r="P33" s="1"/>
  <c r="R33" s="1"/>
  <c r="G29" i="18"/>
  <c r="F29"/>
  <c r="F12"/>
  <c r="G12"/>
  <c r="M54" i="12"/>
  <c r="N54" s="1"/>
  <c r="P54" s="1"/>
  <c r="R54" s="1"/>
  <c r="F36" i="18"/>
  <c r="G36"/>
  <c r="M24" i="13"/>
  <c r="N24" s="1"/>
  <c r="P24" s="1"/>
  <c r="R24" s="1"/>
  <c r="M47" i="12"/>
  <c r="N47" s="1"/>
  <c r="P47" s="1"/>
  <c r="R47" s="1"/>
  <c r="M20"/>
  <c r="N20" s="1"/>
  <c r="P20" s="1"/>
  <c r="F16" i="18"/>
  <c r="G16"/>
  <c r="M60" i="12"/>
  <c r="N60" s="1"/>
  <c r="P60" s="1"/>
  <c r="R60" s="1"/>
  <c r="M44"/>
  <c r="N44" s="1"/>
  <c r="P44" s="1"/>
  <c r="R44" s="1"/>
  <c r="M41" i="13"/>
  <c r="N41" s="1"/>
  <c r="P41" s="1"/>
  <c r="R41" s="1"/>
  <c r="G73" i="18"/>
  <c r="F73"/>
  <c r="G53"/>
  <c r="F53"/>
  <c r="M27" i="13"/>
  <c r="N27" s="1"/>
  <c r="P27" s="1"/>
  <c r="R27" s="1"/>
  <c r="M12" i="10"/>
  <c r="N12"/>
  <c r="M69" i="12"/>
  <c r="N69" s="1"/>
  <c r="P69" s="1"/>
  <c r="R69" s="1"/>
  <c r="G65" i="18"/>
  <c r="F65"/>
  <c r="M45" i="13"/>
  <c r="N45" s="1"/>
  <c r="P45" s="1"/>
  <c r="R45" s="1"/>
  <c r="M66" i="12"/>
  <c r="N66" s="1"/>
  <c r="P66" s="1"/>
  <c r="R66" s="1"/>
  <c r="F62" i="18"/>
  <c r="G62"/>
  <c r="M56" i="12"/>
  <c r="N56" s="1"/>
  <c r="P56" s="1"/>
  <c r="R56" s="1"/>
  <c r="F117" i="18"/>
  <c r="G117"/>
  <c r="M30" i="13"/>
  <c r="N30" s="1"/>
  <c r="P30" s="1"/>
  <c r="R30" s="1"/>
  <c r="M22" i="12"/>
  <c r="N22" s="1"/>
  <c r="P22" s="1"/>
  <c r="M7"/>
  <c r="N7" s="1"/>
  <c r="P7" s="1"/>
  <c r="M23" i="13"/>
  <c r="N23" s="1"/>
  <c r="P23" s="1"/>
  <c r="R23" s="1"/>
  <c r="L62" i="11"/>
  <c r="M62" s="1"/>
  <c r="O62" s="1"/>
  <c r="Q62" s="1"/>
  <c r="M71" i="13"/>
  <c r="N71" s="1"/>
  <c r="P71" s="1"/>
  <c r="R71" s="1"/>
  <c r="M37"/>
  <c r="N37" s="1"/>
  <c r="P37" s="1"/>
  <c r="R37" s="1"/>
  <c r="M12"/>
  <c r="N12" s="1"/>
  <c r="P12" s="1"/>
  <c r="R12" s="1"/>
  <c r="M36"/>
  <c r="N36" s="1"/>
  <c r="P36" s="1"/>
  <c r="R36" s="1"/>
  <c r="M9" i="12"/>
  <c r="N9" s="1"/>
  <c r="P9" s="1"/>
  <c r="M42" i="13"/>
  <c r="N42" s="1"/>
  <c r="P42" s="1"/>
  <c r="R42" s="1"/>
  <c r="M64"/>
  <c r="N64" s="1"/>
  <c r="P64" s="1"/>
  <c r="R64" s="1"/>
  <c r="M15" i="12"/>
  <c r="N15" s="1"/>
  <c r="P15" s="1"/>
  <c r="M53" i="13"/>
  <c r="N53" s="1"/>
  <c r="P53" s="1"/>
  <c r="R53" s="1"/>
  <c r="N14" i="10"/>
  <c r="M14"/>
  <c r="M69" i="13"/>
  <c r="N69" s="1"/>
  <c r="P69" s="1"/>
  <c r="R69" s="1"/>
  <c r="M45" i="12"/>
  <c r="N45" s="1"/>
  <c r="P45" s="1"/>
  <c r="R45" s="1"/>
  <c r="M62" i="13"/>
  <c r="N62" s="1"/>
  <c r="P62" s="1"/>
  <c r="R62" s="1"/>
  <c r="M52" i="12"/>
  <c r="N52" s="1"/>
  <c r="P52" s="1"/>
  <c r="R52" s="1"/>
  <c r="M30"/>
  <c r="N30" s="1"/>
  <c r="P30" s="1"/>
  <c r="R30" s="1"/>
  <c r="M7" i="13"/>
  <c r="N7" s="1"/>
  <c r="P7" s="1"/>
  <c r="R7" s="1"/>
  <c r="M31" i="12"/>
  <c r="N31" s="1"/>
  <c r="P31" s="1"/>
  <c r="R31" s="1"/>
  <c r="S75" i="15"/>
  <c r="I75"/>
  <c r="J75" s="1"/>
  <c r="V75" s="1"/>
  <c r="J74" i="26"/>
  <c r="K74"/>
  <c r="K52" i="2"/>
  <c r="N52"/>
  <c r="P52" s="1"/>
  <c r="C111" i="18"/>
  <c r="E107"/>
  <c r="C200"/>
  <c r="E194"/>
  <c r="I24" i="10"/>
  <c r="K21"/>
  <c r="G43" i="18"/>
  <c r="F43"/>
  <c r="G47" i="11"/>
  <c r="G51" s="1"/>
  <c r="K41"/>
  <c r="G102" i="18"/>
  <c r="F102"/>
  <c r="G104"/>
  <c r="F104"/>
  <c r="U29" i="2"/>
  <c r="C28" i="4" s="1"/>
  <c r="P28" s="1"/>
  <c r="AB28" s="1"/>
  <c r="R29" i="2"/>
  <c r="S29" s="1"/>
  <c r="C28" i="3" s="1"/>
  <c r="P28" s="1"/>
  <c r="AB28" s="1"/>
  <c r="I19" i="10"/>
  <c r="K7"/>
  <c r="K6" i="11"/>
  <c r="G11"/>
  <c r="C206" i="18"/>
  <c r="E205"/>
  <c r="L28" i="10"/>
  <c r="H30"/>
  <c r="U54" i="2"/>
  <c r="C53" i="4" s="1"/>
  <c r="P53" s="1"/>
  <c r="AB53" s="1"/>
  <c r="R54" i="2"/>
  <c r="S54" s="1"/>
  <c r="C53" i="3" s="1"/>
  <c r="P53" s="1"/>
  <c r="AB53" s="1"/>
  <c r="U36" i="2"/>
  <c r="C35" i="4" s="1"/>
  <c r="P35" s="1"/>
  <c r="AB35" s="1"/>
  <c r="R36" i="2"/>
  <c r="S36" s="1"/>
  <c r="C35" i="3" s="1"/>
  <c r="P35" s="1"/>
  <c r="AB35" s="1"/>
  <c r="G25" i="18"/>
  <c r="F25"/>
  <c r="G47"/>
  <c r="F47"/>
  <c r="F20"/>
  <c r="G20"/>
  <c r="F44"/>
  <c r="G44"/>
  <c r="G57"/>
  <c r="F57"/>
  <c r="G69"/>
  <c r="F69"/>
  <c r="F66"/>
  <c r="G66"/>
  <c r="F30"/>
  <c r="G30"/>
  <c r="F22"/>
  <c r="G22"/>
  <c r="R44" i="2"/>
  <c r="S44" s="1"/>
  <c r="C43" i="3" s="1"/>
  <c r="P43" s="1"/>
  <c r="AB43" s="1"/>
  <c r="U44" i="2"/>
  <c r="C43" i="4" s="1"/>
  <c r="P43" s="1"/>
  <c r="AB43" s="1"/>
  <c r="M40" i="13"/>
  <c r="N40" s="1"/>
  <c r="P40" s="1"/>
  <c r="R40" s="1"/>
  <c r="R57" i="2"/>
  <c r="S57" s="1"/>
  <c r="C56" i="3" s="1"/>
  <c r="P56" s="1"/>
  <c r="AB56" s="1"/>
  <c r="U57" i="2"/>
  <c r="C56" i="4" s="1"/>
  <c r="P56" s="1"/>
  <c r="AB56" s="1"/>
  <c r="R39" i="2"/>
  <c r="S39" s="1"/>
  <c r="C38" i="3" s="1"/>
  <c r="P38" s="1"/>
  <c r="AB38" s="1"/>
  <c r="U39" i="2"/>
  <c r="C38" i="4" s="1"/>
  <c r="P38" s="1"/>
  <c r="AB38" s="1"/>
  <c r="R60" i="2"/>
  <c r="S60" s="1"/>
  <c r="C59" i="3" s="1"/>
  <c r="P59" s="1"/>
  <c r="AB59" s="1"/>
  <c r="U60" i="2"/>
  <c r="C59" i="4" s="1"/>
  <c r="P59" s="1"/>
  <c r="AB59" s="1"/>
  <c r="U38" i="2"/>
  <c r="C37" i="4" s="1"/>
  <c r="P37" s="1"/>
  <c r="AB37" s="1"/>
  <c r="R38" i="2"/>
  <c r="S38" s="1"/>
  <c r="C37" i="3" s="1"/>
  <c r="P37" s="1"/>
  <c r="AB37" s="1"/>
  <c r="M111" i="23"/>
  <c r="M112" s="1"/>
  <c r="L111"/>
  <c r="L112" s="1"/>
  <c r="D110" i="18"/>
  <c r="I27" i="11"/>
  <c r="I28" s="1"/>
  <c r="L10" i="10"/>
  <c r="H18"/>
  <c r="S15" i="15"/>
  <c r="I15"/>
  <c r="J15" s="1"/>
  <c r="V15" s="1"/>
  <c r="J14" i="26"/>
  <c r="K14"/>
  <c r="F81" i="16"/>
  <c r="E101" i="1"/>
  <c r="D22" i="3"/>
  <c r="D75" s="1"/>
  <c r="AN38" i="10"/>
  <c r="L21"/>
  <c r="L24" s="1"/>
  <c r="H24"/>
  <c r="K26"/>
  <c r="C119" i="18"/>
  <c r="E113"/>
  <c r="C126"/>
  <c r="E121"/>
  <c r="U12" i="2"/>
  <c r="C11" i="4" s="1"/>
  <c r="P11" s="1"/>
  <c r="AB11" s="1"/>
  <c r="R12" i="2"/>
  <c r="S12" s="1"/>
  <c r="C11" i="3" s="1"/>
  <c r="P11" s="1"/>
  <c r="AB11" s="1"/>
  <c r="C105" i="18"/>
  <c r="E100"/>
  <c r="J91" i="11"/>
  <c r="J92" s="1"/>
  <c r="H92"/>
  <c r="I30" i="10"/>
  <c r="I31" s="1"/>
  <c r="K28"/>
  <c r="K30" s="1"/>
  <c r="R41" i="2"/>
  <c r="S41" s="1"/>
  <c r="C40" i="3" s="1"/>
  <c r="P40" s="1"/>
  <c r="AB40" s="1"/>
  <c r="U41" i="2"/>
  <c r="C40" i="4" s="1"/>
  <c r="P40" s="1"/>
  <c r="AB40" s="1"/>
  <c r="U25" i="2"/>
  <c r="C24" i="4" s="1"/>
  <c r="P24" s="1"/>
  <c r="AB24" s="1"/>
  <c r="R25" i="2"/>
  <c r="S25" s="1"/>
  <c r="C24" i="3" s="1"/>
  <c r="P24" s="1"/>
  <c r="AB24" s="1"/>
  <c r="L152" i="19"/>
  <c r="M152"/>
  <c r="C155" i="18"/>
  <c r="E155" s="1"/>
  <c r="I60" i="9"/>
  <c r="K60" s="1"/>
  <c r="M154" i="23"/>
  <c r="L154"/>
  <c r="D153" i="18"/>
  <c r="J61" i="9"/>
  <c r="L188" i="19"/>
  <c r="C191" i="18"/>
  <c r="E191" s="1"/>
  <c r="M188" i="19"/>
  <c r="I55" i="9"/>
  <c r="K55" s="1"/>
  <c r="L189" i="23"/>
  <c r="M189"/>
  <c r="D188" i="18"/>
  <c r="J53" i="9"/>
  <c r="M183" i="19"/>
  <c r="L183"/>
  <c r="C186" i="18"/>
  <c r="E186" s="1"/>
  <c r="I51" i="9"/>
  <c r="K51" s="1"/>
  <c r="L185" i="23"/>
  <c r="M185"/>
  <c r="D184" i="18"/>
  <c r="J49" i="9"/>
  <c r="M179" i="19"/>
  <c r="L179"/>
  <c r="C182" i="18"/>
  <c r="E182" s="1"/>
  <c r="I47" i="9"/>
  <c r="K47" s="1"/>
  <c r="L181" i="23"/>
  <c r="M181"/>
  <c r="D180" i="18"/>
  <c r="J45" i="9"/>
  <c r="M175" i="19"/>
  <c r="L175"/>
  <c r="C178" i="18"/>
  <c r="E178" s="1"/>
  <c r="I43" i="9"/>
  <c r="K43" s="1"/>
  <c r="L177" i="23"/>
  <c r="M177"/>
  <c r="D176" i="18"/>
  <c r="J41" i="9"/>
  <c r="M161" i="19"/>
  <c r="L161"/>
  <c r="C164" i="18"/>
  <c r="E164" s="1"/>
  <c r="I28" i="9"/>
  <c r="K28" s="1"/>
  <c r="L163" i="23"/>
  <c r="M163"/>
  <c r="D162" i="18"/>
  <c r="J26" i="9"/>
  <c r="M157" i="19"/>
  <c r="L157"/>
  <c r="C160" i="18"/>
  <c r="E160" s="1"/>
  <c r="I24" i="9"/>
  <c r="K24" s="1"/>
  <c r="L159" i="23"/>
  <c r="M159"/>
  <c r="D158" i="18"/>
  <c r="J22" i="9"/>
  <c r="M153" i="19"/>
  <c r="L153"/>
  <c r="C156" i="18"/>
  <c r="E156" s="1"/>
  <c r="I20" i="9"/>
  <c r="K20" s="1"/>
  <c r="M152" i="23"/>
  <c r="L152"/>
  <c r="D151" i="18"/>
  <c r="J18" i="9"/>
  <c r="L146" i="19"/>
  <c r="M146"/>
  <c r="C149" i="18"/>
  <c r="E149" s="1"/>
  <c r="I16" i="9"/>
  <c r="K16" s="1"/>
  <c r="M146" i="23"/>
  <c r="L146"/>
  <c r="D145" i="18"/>
  <c r="J14" i="9"/>
  <c r="L140" i="19"/>
  <c r="M140"/>
  <c r="C143" i="18"/>
  <c r="E143" s="1"/>
  <c r="I12" i="9"/>
  <c r="K12" s="1"/>
  <c r="K141" i="23"/>
  <c r="M136"/>
  <c r="M141" s="1"/>
  <c r="L136"/>
  <c r="L141" s="1"/>
  <c r="D135" i="18"/>
  <c r="D140" s="1"/>
  <c r="J8" i="9"/>
  <c r="M151" i="19"/>
  <c r="L151"/>
  <c r="C154" i="18"/>
  <c r="E154" s="1"/>
  <c r="I59" i="9"/>
  <c r="K59" s="1"/>
  <c r="L175" i="23"/>
  <c r="M175"/>
  <c r="D174" i="18"/>
  <c r="J39" i="9"/>
  <c r="M169" i="19"/>
  <c r="L169"/>
  <c r="C172" i="18"/>
  <c r="E172" s="1"/>
  <c r="I37" i="9"/>
  <c r="K37" s="1"/>
  <c r="L171" i="23"/>
  <c r="M171"/>
  <c r="D170" i="18"/>
  <c r="J35" i="9"/>
  <c r="L136" i="19"/>
  <c r="M136"/>
  <c r="C139" i="18"/>
  <c r="E139" s="1"/>
  <c r="I33" i="9"/>
  <c r="K33" s="1"/>
  <c r="M168" i="23"/>
  <c r="L168"/>
  <c r="D167" i="18"/>
  <c r="J31" i="9"/>
  <c r="L162" i="19"/>
  <c r="M162"/>
  <c r="C165" i="18"/>
  <c r="E165" s="1"/>
  <c r="I29" i="9"/>
  <c r="K29" s="1"/>
  <c r="H79" i="11"/>
  <c r="J77"/>
  <c r="J79" s="1"/>
  <c r="R50" i="2"/>
  <c r="S50" s="1"/>
  <c r="C49" i="3" s="1"/>
  <c r="P49" s="1"/>
  <c r="AB49" s="1"/>
  <c r="U50" i="2"/>
  <c r="C49" i="4" s="1"/>
  <c r="P49" s="1"/>
  <c r="AB49" s="1"/>
  <c r="AJ61" i="11"/>
  <c r="S61"/>
  <c r="T61" s="1"/>
  <c r="AK61" s="1"/>
  <c r="AL78"/>
  <c r="V78"/>
  <c r="S78"/>
  <c r="T78" s="1"/>
  <c r="AM78" s="1"/>
  <c r="M148" i="23"/>
  <c r="L148"/>
  <c r="D147" i="18"/>
  <c r="J58" i="9"/>
  <c r="M143" i="19"/>
  <c r="L143"/>
  <c r="C146" i="18"/>
  <c r="E146" s="1"/>
  <c r="I57" i="9"/>
  <c r="K57" s="1"/>
  <c r="M190" i="23"/>
  <c r="L190"/>
  <c r="D189" i="18"/>
  <c r="J54" i="9"/>
  <c r="L184" i="19"/>
  <c r="C187" i="18"/>
  <c r="E187" s="1"/>
  <c r="M184" i="19"/>
  <c r="I52" i="9"/>
  <c r="K52" s="1"/>
  <c r="M186" i="23"/>
  <c r="L186"/>
  <c r="D185" i="18"/>
  <c r="J50" i="9"/>
  <c r="L180" i="19"/>
  <c r="C183" i="18"/>
  <c r="E183" s="1"/>
  <c r="M180" i="19"/>
  <c r="I48" i="9"/>
  <c r="K48" s="1"/>
  <c r="M182" i="23"/>
  <c r="L182"/>
  <c r="D181" i="18"/>
  <c r="J46" i="9"/>
  <c r="L176" i="19"/>
  <c r="C179" i="18"/>
  <c r="E179" s="1"/>
  <c r="M176" i="19"/>
  <c r="I44" i="9"/>
  <c r="K44" s="1"/>
  <c r="M178" i="23"/>
  <c r="L178"/>
  <c r="D177" i="18"/>
  <c r="J42" i="9"/>
  <c r="L172" i="19"/>
  <c r="C175" i="18"/>
  <c r="E175" s="1"/>
  <c r="M172" i="19"/>
  <c r="I40" i="9"/>
  <c r="K40" s="1"/>
  <c r="M164" i="23"/>
  <c r="L164"/>
  <c r="D163" i="18"/>
  <c r="J27" i="9"/>
  <c r="L158" i="19"/>
  <c r="M158"/>
  <c r="C161" i="18"/>
  <c r="E161" s="1"/>
  <c r="I25" i="9"/>
  <c r="K25" s="1"/>
  <c r="M160" i="23"/>
  <c r="L160"/>
  <c r="D159" i="18"/>
  <c r="J23" i="9"/>
  <c r="L154" i="19"/>
  <c r="M154"/>
  <c r="C157" i="18"/>
  <c r="E157" s="1"/>
  <c r="I21" i="9"/>
  <c r="K21" s="1"/>
  <c r="L153" i="23"/>
  <c r="M153"/>
  <c r="D152" i="18"/>
  <c r="J19" i="9"/>
  <c r="M147" i="19"/>
  <c r="L147"/>
  <c r="C150" i="18"/>
  <c r="E150" s="1"/>
  <c r="I17" i="9"/>
  <c r="K17" s="1"/>
  <c r="L149" i="23"/>
  <c r="M149"/>
  <c r="D148" i="18"/>
  <c r="J15" i="9"/>
  <c r="M141" i="19"/>
  <c r="L141"/>
  <c r="C144" i="18"/>
  <c r="E144" s="1"/>
  <c r="I13" i="9"/>
  <c r="K13" s="1"/>
  <c r="E62"/>
  <c r="E63" s="1"/>
  <c r="E65" s="1"/>
  <c r="H11"/>
  <c r="K193" i="23"/>
  <c r="J42" i="2" s="1"/>
  <c r="L143" i="23"/>
  <c r="M143"/>
  <c r="D142" i="18"/>
  <c r="J11" i="9"/>
  <c r="M41" i="19"/>
  <c r="L41"/>
  <c r="C40" i="18"/>
  <c r="E40" s="1"/>
  <c r="I6" i="9"/>
  <c r="K6" s="1"/>
  <c r="I42" i="2"/>
  <c r="L191" i="23"/>
  <c r="M191"/>
  <c r="D190" i="18"/>
  <c r="J56" i="9"/>
  <c r="L170" i="19"/>
  <c r="C173" i="18"/>
  <c r="E173" s="1"/>
  <c r="M170" i="19"/>
  <c r="I38" i="9"/>
  <c r="K38" s="1"/>
  <c r="M172" i="23"/>
  <c r="L172"/>
  <c r="D171" i="18"/>
  <c r="J36" i="9"/>
  <c r="L166" i="19"/>
  <c r="C169" i="18"/>
  <c r="E169" s="1"/>
  <c r="M166" i="19"/>
  <c r="I34" i="9"/>
  <c r="K34" s="1"/>
  <c r="L169" i="23"/>
  <c r="M169"/>
  <c r="D168" i="18"/>
  <c r="J32" i="9"/>
  <c r="M163" i="19"/>
  <c r="L163"/>
  <c r="C166" i="18"/>
  <c r="E166" s="1"/>
  <c r="I30" i="9"/>
  <c r="K30" s="1"/>
  <c r="L111" i="19"/>
  <c r="L197"/>
  <c r="L71" i="12"/>
  <c r="L55"/>
  <c r="L37"/>
  <c r="L29"/>
  <c r="L58"/>
  <c r="L36"/>
  <c r="L9" i="13"/>
  <c r="L63" i="12"/>
  <c r="L64"/>
  <c r="L48"/>
  <c r="L19" i="13"/>
  <c r="L35"/>
  <c r="L17" i="10"/>
  <c r="L49" i="12"/>
  <c r="L18" i="13"/>
  <c r="L70" i="12"/>
  <c r="L17" i="13"/>
  <c r="K9" i="11"/>
  <c r="L26" i="12"/>
  <c r="L31" i="13"/>
  <c r="L40" i="12"/>
  <c r="K8" i="11"/>
  <c r="L51" i="13"/>
  <c r="L25"/>
  <c r="L54"/>
  <c r="L32" i="12"/>
  <c r="L67" i="13"/>
  <c r="L20"/>
  <c r="L60"/>
  <c r="L44"/>
  <c r="K10" i="11"/>
  <c r="L35" i="12"/>
  <c r="L7" i="10"/>
  <c r="L21" i="13"/>
  <c r="L65"/>
  <c r="L18" i="12"/>
  <c r="L66" i="13"/>
  <c r="L43" i="12"/>
  <c r="L13" i="13"/>
  <c r="L56"/>
  <c r="L38" i="12"/>
  <c r="L26" i="13"/>
  <c r="L39" i="12"/>
  <c r="K59"/>
  <c r="K51"/>
  <c r="K33"/>
  <c r="K25"/>
  <c r="K8"/>
  <c r="K54"/>
  <c r="J36" i="10"/>
  <c r="K50" i="12"/>
  <c r="K32" i="13"/>
  <c r="K24"/>
  <c r="K67" i="12"/>
  <c r="K47"/>
  <c r="K20"/>
  <c r="K68"/>
  <c r="K60"/>
  <c r="D111" i="18"/>
  <c r="K27" i="11"/>
  <c r="K44" i="12"/>
  <c r="E109" i="18"/>
  <c r="K27" i="13"/>
  <c r="K15" i="10"/>
  <c r="J18"/>
  <c r="J38" s="1"/>
  <c r="M201" i="23"/>
  <c r="K56" i="12"/>
  <c r="K38" i="13"/>
  <c r="K30"/>
  <c r="K22" i="12"/>
  <c r="K7"/>
  <c r="K71" i="13"/>
  <c r="K55"/>
  <c r="K37"/>
  <c r="K29"/>
  <c r="K12"/>
  <c r="K58"/>
  <c r="K35" i="10"/>
  <c r="K73" i="13"/>
  <c r="K53"/>
  <c r="K27" i="12"/>
  <c r="K14" i="10"/>
  <c r="E198" i="18"/>
  <c r="E195"/>
  <c r="M105" i="19"/>
  <c r="AE8" i="5"/>
  <c r="K69" i="13"/>
  <c r="K61"/>
  <c r="K45" i="12"/>
  <c r="K70" i="13"/>
  <c r="K62"/>
  <c r="K23" i="10"/>
  <c r="K17" i="12"/>
  <c r="J46" i="11"/>
  <c r="K30" i="12"/>
  <c r="K22" i="13"/>
  <c r="K7"/>
  <c r="K31" i="12"/>
  <c r="K6"/>
  <c r="L61" i="9"/>
  <c r="N61" s="1"/>
  <c r="P61" s="1"/>
  <c r="L53"/>
  <c r="N53" s="1"/>
  <c r="P53" s="1"/>
  <c r="L49"/>
  <c r="N49" s="1"/>
  <c r="P49" s="1"/>
  <c r="L45"/>
  <c r="N45" s="1"/>
  <c r="P45" s="1"/>
  <c r="L41"/>
  <c r="N41" s="1"/>
  <c r="P41" s="1"/>
  <c r="L26"/>
  <c r="N26" s="1"/>
  <c r="P26" s="1"/>
  <c r="L22"/>
  <c r="N22" s="1"/>
  <c r="P22" s="1"/>
  <c r="L18"/>
  <c r="N18" s="1"/>
  <c r="P18" s="1"/>
  <c r="L14"/>
  <c r="N14" s="1"/>
  <c r="P14" s="1"/>
  <c r="L8"/>
  <c r="L39"/>
  <c r="N39" s="1"/>
  <c r="P39" s="1"/>
  <c r="L35"/>
  <c r="N35" s="1"/>
  <c r="P35" s="1"/>
  <c r="L31"/>
  <c r="N31" s="1"/>
  <c r="P31" s="1"/>
  <c r="L58"/>
  <c r="N58" s="1"/>
  <c r="P58" s="1"/>
  <c r="L54"/>
  <c r="N54" s="1"/>
  <c r="P54" s="1"/>
  <c r="L50"/>
  <c r="N50" s="1"/>
  <c r="P50" s="1"/>
  <c r="L46"/>
  <c r="N46" s="1"/>
  <c r="P46" s="1"/>
  <c r="L42"/>
  <c r="N42" s="1"/>
  <c r="P42" s="1"/>
  <c r="L27"/>
  <c r="N27" s="1"/>
  <c r="P27" s="1"/>
  <c r="L23"/>
  <c r="N23" s="1"/>
  <c r="P23" s="1"/>
  <c r="L19"/>
  <c r="N19" s="1"/>
  <c r="P19" s="1"/>
  <c r="L15"/>
  <c r="N15" s="1"/>
  <c r="P15" s="1"/>
  <c r="L56"/>
  <c r="N56" s="1"/>
  <c r="P56" s="1"/>
  <c r="L36"/>
  <c r="N36" s="1"/>
  <c r="P36" s="1"/>
  <c r="L32"/>
  <c r="N32" s="1"/>
  <c r="P32" s="1"/>
  <c r="O14" i="10" l="1"/>
  <c r="P14" s="1"/>
  <c r="R14" s="1"/>
  <c r="T14" s="1"/>
  <c r="O11"/>
  <c r="P11" s="1"/>
  <c r="R11" s="1"/>
  <c r="T11" s="1"/>
  <c r="D192" i="18"/>
  <c r="T7" i="13"/>
  <c r="U7" s="1"/>
  <c r="AL7" s="1"/>
  <c r="AK7"/>
  <c r="T69"/>
  <c r="U69" s="1"/>
  <c r="AL69" s="1"/>
  <c r="AK69"/>
  <c r="T42"/>
  <c r="U42" s="1"/>
  <c r="AL42" s="1"/>
  <c r="AK42"/>
  <c r="T12"/>
  <c r="U12" s="1"/>
  <c r="AL12" s="1"/>
  <c r="AK12"/>
  <c r="R22" i="12"/>
  <c r="T22" s="1"/>
  <c r="U22" s="1"/>
  <c r="AL22" s="1"/>
  <c r="AK22"/>
  <c r="T56"/>
  <c r="U56" s="1"/>
  <c r="AL56" s="1"/>
  <c r="AK56"/>
  <c r="T27" i="13"/>
  <c r="U27" s="1"/>
  <c r="AL27" s="1"/>
  <c r="AK27"/>
  <c r="T47" i="12"/>
  <c r="U47" s="1"/>
  <c r="AL47" s="1"/>
  <c r="AK47"/>
  <c r="T51"/>
  <c r="U51" s="1"/>
  <c r="AL51" s="1"/>
  <c r="AK51"/>
  <c r="R25"/>
  <c r="T25" s="1"/>
  <c r="U25" s="1"/>
  <c r="AL25" s="1"/>
  <c r="AK25"/>
  <c r="R6"/>
  <c r="T6" s="1"/>
  <c r="U6" s="1"/>
  <c r="AL6" s="1"/>
  <c r="AK6"/>
  <c r="T34"/>
  <c r="U34" s="1"/>
  <c r="AL34" s="1"/>
  <c r="AK34"/>
  <c r="R17"/>
  <c r="T17" s="1"/>
  <c r="U17" s="1"/>
  <c r="AL17" s="1"/>
  <c r="AK17"/>
  <c r="T16" i="13"/>
  <c r="U16" s="1"/>
  <c r="AL16" s="1"/>
  <c r="AK16"/>
  <c r="T58"/>
  <c r="U58" s="1"/>
  <c r="AL58" s="1"/>
  <c r="AK58"/>
  <c r="T72" i="12"/>
  <c r="U72" s="1"/>
  <c r="AL72" s="1"/>
  <c r="AK72"/>
  <c r="R14"/>
  <c r="T14" s="1"/>
  <c r="U14" s="1"/>
  <c r="AL14" s="1"/>
  <c r="AK14"/>
  <c r="T57"/>
  <c r="U57" s="1"/>
  <c r="AL57" s="1"/>
  <c r="AK57"/>
  <c r="T67"/>
  <c r="U67" s="1"/>
  <c r="AL67" s="1"/>
  <c r="AK67"/>
  <c r="T31"/>
  <c r="U31" s="1"/>
  <c r="AL31" s="1"/>
  <c r="AK31"/>
  <c r="T45"/>
  <c r="U45" s="1"/>
  <c r="AL45" s="1"/>
  <c r="AK45"/>
  <c r="AO14" i="10"/>
  <c r="V14"/>
  <c r="W14" s="1"/>
  <c r="AP14" s="1"/>
  <c r="T64" i="13"/>
  <c r="U64" s="1"/>
  <c r="AL64" s="1"/>
  <c r="AK64"/>
  <c r="T36"/>
  <c r="U36" s="1"/>
  <c r="AL36" s="1"/>
  <c r="AK36"/>
  <c r="AJ62" i="11"/>
  <c r="S62"/>
  <c r="T62" s="1"/>
  <c r="AK62" s="1"/>
  <c r="T30" i="13"/>
  <c r="U30" s="1"/>
  <c r="AL30" s="1"/>
  <c r="AK30"/>
  <c r="T66" i="12"/>
  <c r="U66" s="1"/>
  <c r="AL66" s="1"/>
  <c r="AK66"/>
  <c r="T41" i="13"/>
  <c r="U41" s="1"/>
  <c r="AL41" s="1"/>
  <c r="AK41"/>
  <c r="T33" i="12"/>
  <c r="U33" s="1"/>
  <c r="AL33" s="1"/>
  <c r="AK33"/>
  <c r="T59"/>
  <c r="U59" s="1"/>
  <c r="AL59" s="1"/>
  <c r="AK59"/>
  <c r="T22" i="13"/>
  <c r="U22" s="1"/>
  <c r="AL22" s="1"/>
  <c r="AK22"/>
  <c r="T61"/>
  <c r="U61" s="1"/>
  <c r="AL61" s="1"/>
  <c r="AK61"/>
  <c r="T48"/>
  <c r="U48" s="1"/>
  <c r="AL48" s="1"/>
  <c r="AK48"/>
  <c r="T28" i="12"/>
  <c r="U28" s="1"/>
  <c r="AL28" s="1"/>
  <c r="AK28"/>
  <c r="AJ64" i="11"/>
  <c r="S64"/>
  <c r="T64" s="1"/>
  <c r="AK64" s="1"/>
  <c r="T38" i="13"/>
  <c r="U38" s="1"/>
  <c r="AL38" s="1"/>
  <c r="AK38"/>
  <c r="T46" i="12"/>
  <c r="U46" s="1"/>
  <c r="AL46" s="1"/>
  <c r="AK46"/>
  <c r="T15" i="13"/>
  <c r="U15" s="1"/>
  <c r="AL15" s="1"/>
  <c r="AK15"/>
  <c r="N8" i="9"/>
  <c r="P8" s="1"/>
  <c r="G198" i="18"/>
  <c r="F198"/>
  <c r="M56" i="13"/>
  <c r="N56"/>
  <c r="P56" s="1"/>
  <c r="R56" s="1"/>
  <c r="AE77" i="5"/>
  <c r="AG8"/>
  <c r="AF8"/>
  <c r="F195" i="18"/>
  <c r="G195"/>
  <c r="G109"/>
  <c r="F109"/>
  <c r="L27" i="11"/>
  <c r="M27" s="1"/>
  <c r="O27" s="1"/>
  <c r="Q27" s="1"/>
  <c r="M39" i="12"/>
  <c r="N39" s="1"/>
  <c r="P39" s="1"/>
  <c r="R39" s="1"/>
  <c r="M38"/>
  <c r="N38" s="1"/>
  <c r="P38" s="1"/>
  <c r="R38" s="1"/>
  <c r="M13" i="13"/>
  <c r="N13" s="1"/>
  <c r="P13" s="1"/>
  <c r="R13" s="1"/>
  <c r="M66"/>
  <c r="N66" s="1"/>
  <c r="P66" s="1"/>
  <c r="R66" s="1"/>
  <c r="M65"/>
  <c r="N65" s="1"/>
  <c r="P65" s="1"/>
  <c r="R65" s="1"/>
  <c r="L10" i="11"/>
  <c r="M10" s="1"/>
  <c r="O10" s="1"/>
  <c r="Q10" s="1"/>
  <c r="M75" i="2"/>
  <c r="N75" s="1"/>
  <c r="P75" s="1"/>
  <c r="M60" i="13"/>
  <c r="N60" s="1"/>
  <c r="P60" s="1"/>
  <c r="R60" s="1"/>
  <c r="M67"/>
  <c r="N67" s="1"/>
  <c r="P67" s="1"/>
  <c r="R67" s="1"/>
  <c r="M54"/>
  <c r="N54" s="1"/>
  <c r="P54" s="1"/>
  <c r="R54" s="1"/>
  <c r="M51"/>
  <c r="N51" s="1"/>
  <c r="P51" s="1"/>
  <c r="R51" s="1"/>
  <c r="M40" i="12"/>
  <c r="N40" s="1"/>
  <c r="P40" s="1"/>
  <c r="R40" s="1"/>
  <c r="M26"/>
  <c r="N26" s="1"/>
  <c r="P26" s="1"/>
  <c r="R26" s="1"/>
  <c r="M17" i="13"/>
  <c r="N17" s="1"/>
  <c r="P17" s="1"/>
  <c r="R17" s="1"/>
  <c r="M18"/>
  <c r="N18" s="1"/>
  <c r="P18" s="1"/>
  <c r="R18" s="1"/>
  <c r="M17" i="10"/>
  <c r="N17"/>
  <c r="M19" i="13"/>
  <c r="N19" s="1"/>
  <c r="P19" s="1"/>
  <c r="R19" s="1"/>
  <c r="M64" i="12"/>
  <c r="N64" s="1"/>
  <c r="P64" s="1"/>
  <c r="R64" s="1"/>
  <c r="M9" i="13"/>
  <c r="N9" s="1"/>
  <c r="P9" s="1"/>
  <c r="R9" s="1"/>
  <c r="M58" i="12"/>
  <c r="N58" s="1"/>
  <c r="P58" s="1"/>
  <c r="R58" s="1"/>
  <c r="M37"/>
  <c r="N37" s="1"/>
  <c r="P37" s="1"/>
  <c r="R37" s="1"/>
  <c r="M71"/>
  <c r="N71" s="1"/>
  <c r="P71" s="1"/>
  <c r="R71" s="1"/>
  <c r="G169" i="18"/>
  <c r="F169"/>
  <c r="G173"/>
  <c r="F173"/>
  <c r="K42" i="2"/>
  <c r="F40" i="18"/>
  <c r="G40"/>
  <c r="H62" i="9"/>
  <c r="H63" s="1"/>
  <c r="L11"/>
  <c r="G175" i="18"/>
  <c r="F175"/>
  <c r="G179"/>
  <c r="F179"/>
  <c r="G183"/>
  <c r="F183"/>
  <c r="G187"/>
  <c r="F187"/>
  <c r="F165"/>
  <c r="G165"/>
  <c r="G139"/>
  <c r="F139"/>
  <c r="F172"/>
  <c r="G172"/>
  <c r="G154"/>
  <c r="F154"/>
  <c r="G191"/>
  <c r="F191"/>
  <c r="F100"/>
  <c r="F105" s="1"/>
  <c r="E105"/>
  <c r="G100"/>
  <c r="G105" s="1"/>
  <c r="E126"/>
  <c r="G121"/>
  <c r="G126" s="1"/>
  <c r="F121"/>
  <c r="F126" s="1"/>
  <c r="F113"/>
  <c r="E119"/>
  <c r="G113"/>
  <c r="H38" i="10"/>
  <c r="H19"/>
  <c r="E56" i="1"/>
  <c r="T40" i="13"/>
  <c r="U40" s="1"/>
  <c r="AL40" s="1"/>
  <c r="AK40"/>
  <c r="H31" i="10"/>
  <c r="E58" i="1"/>
  <c r="E206" i="18"/>
  <c r="F205"/>
  <c r="F206" s="1"/>
  <c r="G205"/>
  <c r="G206" s="1"/>
  <c r="G15" i="11"/>
  <c r="E60" i="1"/>
  <c r="K47" i="11"/>
  <c r="L41"/>
  <c r="M41" s="1"/>
  <c r="M42" i="2"/>
  <c r="E200" i="18"/>
  <c r="G194"/>
  <c r="F194"/>
  <c r="G107"/>
  <c r="F107"/>
  <c r="R52" i="2"/>
  <c r="S52" s="1"/>
  <c r="C51" i="3" s="1"/>
  <c r="P51" s="1"/>
  <c r="AB51" s="1"/>
  <c r="U52" i="2"/>
  <c r="C51" i="4" s="1"/>
  <c r="P51" s="1"/>
  <c r="AB51" s="1"/>
  <c r="T30" i="12"/>
  <c r="U30" s="1"/>
  <c r="AL30" s="1"/>
  <c r="AK30"/>
  <c r="T52"/>
  <c r="U52" s="1"/>
  <c r="AL52" s="1"/>
  <c r="AK52"/>
  <c r="T62" i="13"/>
  <c r="U62" s="1"/>
  <c r="AL62" s="1"/>
  <c r="AK62"/>
  <c r="T53"/>
  <c r="U53" s="1"/>
  <c r="AL53" s="1"/>
  <c r="AK53"/>
  <c r="R15" i="12"/>
  <c r="T15" s="1"/>
  <c r="U15" s="1"/>
  <c r="AL15" s="1"/>
  <c r="AK15"/>
  <c r="R9"/>
  <c r="T9" s="1"/>
  <c r="U9" s="1"/>
  <c r="AL9" s="1"/>
  <c r="AK9"/>
  <c r="T37" i="13"/>
  <c r="U37" s="1"/>
  <c r="AL37" s="1"/>
  <c r="AK37"/>
  <c r="T71"/>
  <c r="U71" s="1"/>
  <c r="AL71" s="1"/>
  <c r="AK71"/>
  <c r="T23"/>
  <c r="U23" s="1"/>
  <c r="AL23" s="1"/>
  <c r="AK23"/>
  <c r="R7" i="12"/>
  <c r="T7" s="1"/>
  <c r="U7" s="1"/>
  <c r="AL7" s="1"/>
  <c r="AK7"/>
  <c r="T45" i="13"/>
  <c r="U45" s="1"/>
  <c r="AL45" s="1"/>
  <c r="AK45"/>
  <c r="T69" i="12"/>
  <c r="U69" s="1"/>
  <c r="AL69" s="1"/>
  <c r="AK69"/>
  <c r="T44"/>
  <c r="U44" s="1"/>
  <c r="AL44" s="1"/>
  <c r="AK44"/>
  <c r="T60"/>
  <c r="U60" s="1"/>
  <c r="AL60" s="1"/>
  <c r="AK60"/>
  <c r="R20"/>
  <c r="T20" s="1"/>
  <c r="U20" s="1"/>
  <c r="AL20" s="1"/>
  <c r="AK20"/>
  <c r="T24" i="13"/>
  <c r="U24" s="1"/>
  <c r="AL24" s="1"/>
  <c r="AK24"/>
  <c r="T54" i="12"/>
  <c r="U54" s="1"/>
  <c r="AL54" s="1"/>
  <c r="AK54"/>
  <c r="T32" i="13"/>
  <c r="U32" s="1"/>
  <c r="AL32" s="1"/>
  <c r="AK32"/>
  <c r="R58" i="2"/>
  <c r="S58" s="1"/>
  <c r="C57" i="3" s="1"/>
  <c r="P57" s="1"/>
  <c r="AB57" s="1"/>
  <c r="U58" i="2"/>
  <c r="C57" i="4" s="1"/>
  <c r="P57" s="1"/>
  <c r="AB57" s="1"/>
  <c r="F136" i="18"/>
  <c r="G136"/>
  <c r="G137"/>
  <c r="F137"/>
  <c r="G13"/>
  <c r="F13"/>
  <c r="G196"/>
  <c r="F196"/>
  <c r="F138"/>
  <c r="G138"/>
  <c r="M11" i="13"/>
  <c r="N11" s="1"/>
  <c r="P11" s="1"/>
  <c r="R11" s="1"/>
  <c r="M72"/>
  <c r="N72" s="1"/>
  <c r="P72" s="1"/>
  <c r="R72" s="1"/>
  <c r="M46"/>
  <c r="N46" s="1"/>
  <c r="P46" s="1"/>
  <c r="R46" s="1"/>
  <c r="M49"/>
  <c r="N49" s="1"/>
  <c r="P49" s="1"/>
  <c r="R49" s="1"/>
  <c r="M10" i="12"/>
  <c r="N10" s="1"/>
  <c r="P10" s="1"/>
  <c r="M19"/>
  <c r="N19" s="1"/>
  <c r="P19" s="1"/>
  <c r="M47" i="13"/>
  <c r="N47" s="1"/>
  <c r="P47" s="1"/>
  <c r="R47" s="1"/>
  <c r="M50"/>
  <c r="N50" s="1"/>
  <c r="P50" s="1"/>
  <c r="R50" s="1"/>
  <c r="M33"/>
  <c r="N33" s="1"/>
  <c r="P33" s="1"/>
  <c r="R33" s="1"/>
  <c r="M6"/>
  <c r="N6" s="1"/>
  <c r="P6" s="1"/>
  <c r="R6" s="1"/>
  <c r="M34"/>
  <c r="N34" s="1"/>
  <c r="P34" s="1"/>
  <c r="R34" s="1"/>
  <c r="M13" i="12"/>
  <c r="N13" s="1"/>
  <c r="P13" s="1"/>
  <c r="M65"/>
  <c r="N65" s="1"/>
  <c r="P65" s="1"/>
  <c r="R65" s="1"/>
  <c r="M53"/>
  <c r="N53" s="1"/>
  <c r="P53" s="1"/>
  <c r="R53" s="1"/>
  <c r="L25" i="11"/>
  <c r="M25" s="1"/>
  <c r="O25" s="1"/>
  <c r="Q25" s="1"/>
  <c r="M43" i="2"/>
  <c r="N43" s="1"/>
  <c r="P43" s="1"/>
  <c r="M42" i="12"/>
  <c r="N42" s="1"/>
  <c r="P42" s="1"/>
  <c r="R42" s="1"/>
  <c r="M12"/>
  <c r="N12" s="1"/>
  <c r="P12" s="1"/>
  <c r="L77" i="11"/>
  <c r="L79" s="1"/>
  <c r="L81" s="1"/>
  <c r="K79"/>
  <c r="M77"/>
  <c r="C192" i="18"/>
  <c r="E142"/>
  <c r="F128"/>
  <c r="F130" s="1"/>
  <c r="E130"/>
  <c r="G128"/>
  <c r="G130" s="1"/>
  <c r="K8" i="9"/>
  <c r="G132" i="18"/>
  <c r="G133" s="1"/>
  <c r="E133"/>
  <c r="F132"/>
  <c r="F133" s="1"/>
  <c r="AT77" i="5"/>
  <c r="G36" i="1"/>
  <c r="H36"/>
  <c r="K65" i="11"/>
  <c r="L60"/>
  <c r="L65" s="1"/>
  <c r="L67" s="1"/>
  <c r="K28"/>
  <c r="M62" i="2"/>
  <c r="N62" s="1"/>
  <c r="P62" s="1"/>
  <c r="L24" i="11"/>
  <c r="AJ46"/>
  <c r="S46"/>
  <c r="T46" s="1"/>
  <c r="AK46" s="1"/>
  <c r="T70" i="13"/>
  <c r="U70" s="1"/>
  <c r="AL70" s="1"/>
  <c r="AK70"/>
  <c r="V11" i="10"/>
  <c r="W11" s="1"/>
  <c r="AP11" s="1"/>
  <c r="AO11"/>
  <c r="T27" i="12"/>
  <c r="U27" s="1"/>
  <c r="AL27" s="1"/>
  <c r="AK27"/>
  <c r="T73" i="13"/>
  <c r="U73" s="1"/>
  <c r="AL73" s="1"/>
  <c r="AK73"/>
  <c r="T41" i="12"/>
  <c r="U41" s="1"/>
  <c r="AL41" s="1"/>
  <c r="AK41"/>
  <c r="T63" i="13"/>
  <c r="U63" s="1"/>
  <c r="AL63" s="1"/>
  <c r="AK63"/>
  <c r="T29"/>
  <c r="U29" s="1"/>
  <c r="AL29" s="1"/>
  <c r="AK29"/>
  <c r="T55"/>
  <c r="U55" s="1"/>
  <c r="AL55" s="1"/>
  <c r="AK55"/>
  <c r="T39"/>
  <c r="U39" s="1"/>
  <c r="AL39" s="1"/>
  <c r="AK39"/>
  <c r="T43"/>
  <c r="U43" s="1"/>
  <c r="AL43" s="1"/>
  <c r="AK43"/>
  <c r="T61" i="12"/>
  <c r="U61" s="1"/>
  <c r="AL61" s="1"/>
  <c r="AK61"/>
  <c r="R21"/>
  <c r="T21" s="1"/>
  <c r="U21" s="1"/>
  <c r="AL21" s="1"/>
  <c r="AK21"/>
  <c r="U37" i="2"/>
  <c r="C36" i="4" s="1"/>
  <c r="P36" s="1"/>
  <c r="AB36" s="1"/>
  <c r="R37" i="2"/>
  <c r="S37" s="1"/>
  <c r="C36" i="3" s="1"/>
  <c r="P36" s="1"/>
  <c r="AB36" s="1"/>
  <c r="T68" i="12"/>
  <c r="U68" s="1"/>
  <c r="AL68" s="1"/>
  <c r="AK68"/>
  <c r="T50"/>
  <c r="U50" s="1"/>
  <c r="AL50" s="1"/>
  <c r="AK50"/>
  <c r="R8"/>
  <c r="T8" s="1"/>
  <c r="U8" s="1"/>
  <c r="AL8" s="1"/>
  <c r="AK8"/>
  <c r="AO35" i="10"/>
  <c r="V35"/>
  <c r="W35" s="1"/>
  <c r="AP35" s="1"/>
  <c r="L193" i="23"/>
  <c r="K24" i="10"/>
  <c r="L34" i="9"/>
  <c r="N34" s="1"/>
  <c r="P34" s="1"/>
  <c r="L6"/>
  <c r="L17"/>
  <c r="N17" s="1"/>
  <c r="P17" s="1"/>
  <c r="L25"/>
  <c r="N25" s="1"/>
  <c r="P25" s="1"/>
  <c r="L44"/>
  <c r="N44" s="1"/>
  <c r="P44" s="1"/>
  <c r="L52"/>
  <c r="N52" s="1"/>
  <c r="P52" s="1"/>
  <c r="L29"/>
  <c r="N29" s="1"/>
  <c r="P29" s="1"/>
  <c r="L37"/>
  <c r="N37" s="1"/>
  <c r="P37" s="1"/>
  <c r="L12"/>
  <c r="N12" s="1"/>
  <c r="P12" s="1"/>
  <c r="L20"/>
  <c r="N20" s="1"/>
  <c r="P20" s="1"/>
  <c r="L28"/>
  <c r="N28" s="1"/>
  <c r="P28" s="1"/>
  <c r="L47"/>
  <c r="N47" s="1"/>
  <c r="P47" s="1"/>
  <c r="L55"/>
  <c r="N55" s="1"/>
  <c r="P55" s="1"/>
  <c r="K32"/>
  <c r="K36"/>
  <c r="E171" i="18"/>
  <c r="K56" i="9"/>
  <c r="K15"/>
  <c r="K19"/>
  <c r="K23"/>
  <c r="K27"/>
  <c r="K42"/>
  <c r="E177" i="18"/>
  <c r="K46" i="9"/>
  <c r="E181" i="18"/>
  <c r="K50" i="9"/>
  <c r="E185" i="18"/>
  <c r="K54" i="9"/>
  <c r="E189" i="18"/>
  <c r="K58" i="9"/>
  <c r="K31"/>
  <c r="K35"/>
  <c r="K39"/>
  <c r="M137" i="19"/>
  <c r="L137"/>
  <c r="E145" i="18"/>
  <c r="E151"/>
  <c r="E158"/>
  <c r="E162"/>
  <c r="E176"/>
  <c r="E180"/>
  <c r="E184"/>
  <c r="E188"/>
  <c r="E153"/>
  <c r="E110"/>
  <c r="I38" i="10"/>
  <c r="O23"/>
  <c r="P23" s="1"/>
  <c r="R23" s="1"/>
  <c r="T23" s="1"/>
  <c r="M26" i="13"/>
  <c r="N26" s="1"/>
  <c r="P26" s="1"/>
  <c r="R26" s="1"/>
  <c r="N43" i="12"/>
  <c r="P43" s="1"/>
  <c r="R43" s="1"/>
  <c r="M43"/>
  <c r="M18"/>
  <c r="N18" s="1"/>
  <c r="P18" s="1"/>
  <c r="M21" i="13"/>
  <c r="N21" s="1"/>
  <c r="P21" s="1"/>
  <c r="R21" s="1"/>
  <c r="M35" i="12"/>
  <c r="N35" s="1"/>
  <c r="P35" s="1"/>
  <c r="R35" s="1"/>
  <c r="M44" i="13"/>
  <c r="N44" s="1"/>
  <c r="P44" s="1"/>
  <c r="R44" s="1"/>
  <c r="M20"/>
  <c r="N20" s="1"/>
  <c r="P20" s="1"/>
  <c r="R20" s="1"/>
  <c r="M32" i="12"/>
  <c r="N32" s="1"/>
  <c r="P32" s="1"/>
  <c r="R32" s="1"/>
  <c r="N25" i="13"/>
  <c r="P25" s="1"/>
  <c r="R25" s="1"/>
  <c r="M25"/>
  <c r="M8" i="11"/>
  <c r="O8" s="1"/>
  <c r="Q8" s="1"/>
  <c r="L8"/>
  <c r="M73" i="2"/>
  <c r="N73" s="1"/>
  <c r="P73" s="1"/>
  <c r="M31" i="13"/>
  <c r="N31" s="1"/>
  <c r="P31" s="1"/>
  <c r="R31" s="1"/>
  <c r="L9" i="11"/>
  <c r="M9" s="1"/>
  <c r="O9" s="1"/>
  <c r="Q9" s="1"/>
  <c r="M74" i="2"/>
  <c r="N74" s="1"/>
  <c r="P74" s="1"/>
  <c r="M70" i="12"/>
  <c r="N70" s="1"/>
  <c r="P70" s="1"/>
  <c r="R70" s="1"/>
  <c r="M49"/>
  <c r="N49" s="1"/>
  <c r="P49" s="1"/>
  <c r="R49" s="1"/>
  <c r="M35" i="13"/>
  <c r="N35" s="1"/>
  <c r="P35" s="1"/>
  <c r="R35" s="1"/>
  <c r="M48" i="12"/>
  <c r="N48" s="1"/>
  <c r="P48" s="1"/>
  <c r="R48" s="1"/>
  <c r="N63"/>
  <c r="P63" s="1"/>
  <c r="R63" s="1"/>
  <c r="M63"/>
  <c r="M36"/>
  <c r="N36" s="1"/>
  <c r="P36" s="1"/>
  <c r="R36" s="1"/>
  <c r="M29"/>
  <c r="N29" s="1"/>
  <c r="P29" s="1"/>
  <c r="R29" s="1"/>
  <c r="M55"/>
  <c r="N55" s="1"/>
  <c r="P55" s="1"/>
  <c r="R55" s="1"/>
  <c r="G166" i="18"/>
  <c r="F166"/>
  <c r="G144"/>
  <c r="F144"/>
  <c r="G150"/>
  <c r="F150"/>
  <c r="F157"/>
  <c r="G157"/>
  <c r="F161"/>
  <c r="G161"/>
  <c r="G146"/>
  <c r="F146"/>
  <c r="F143"/>
  <c r="G143"/>
  <c r="F149"/>
  <c r="G149"/>
  <c r="G156"/>
  <c r="F156"/>
  <c r="G160"/>
  <c r="F160"/>
  <c r="G164"/>
  <c r="F164"/>
  <c r="F178"/>
  <c r="G178"/>
  <c r="F182"/>
  <c r="G182"/>
  <c r="F186"/>
  <c r="G186"/>
  <c r="F155"/>
  <c r="G155"/>
  <c r="N10" i="10"/>
  <c r="L18"/>
  <c r="M10"/>
  <c r="P28"/>
  <c r="L30"/>
  <c r="K11" i="11"/>
  <c r="L6"/>
  <c r="M23" i="2"/>
  <c r="G118" i="18"/>
  <c r="F118"/>
  <c r="M23" i="12"/>
  <c r="N23" s="1"/>
  <c r="P23" s="1"/>
  <c r="L42" i="11"/>
  <c r="M42" s="1"/>
  <c r="O42" s="1"/>
  <c r="Q42" s="1"/>
  <c r="M32" i="2"/>
  <c r="N32" s="1"/>
  <c r="P32" s="1"/>
  <c r="N29" i="10"/>
  <c r="N30" s="1"/>
  <c r="M29"/>
  <c r="M14" i="13"/>
  <c r="N14" s="1"/>
  <c r="P14" s="1"/>
  <c r="R14" s="1"/>
  <c r="M13" i="10"/>
  <c r="N13"/>
  <c r="M57" i="13"/>
  <c r="N57" s="1"/>
  <c r="P57" s="1"/>
  <c r="R57" s="1"/>
  <c r="M68"/>
  <c r="N68" s="1"/>
  <c r="P68" s="1"/>
  <c r="R68" s="1"/>
  <c r="M24" i="12"/>
  <c r="N24" s="1"/>
  <c r="P24" s="1"/>
  <c r="M8" i="13"/>
  <c r="N8" s="1"/>
  <c r="P8" s="1"/>
  <c r="R8" s="1"/>
  <c r="M59"/>
  <c r="N59" s="1"/>
  <c r="P59" s="1"/>
  <c r="R59" s="1"/>
  <c r="M11" i="12"/>
  <c r="N11" s="1"/>
  <c r="P11" s="1"/>
  <c r="M52" i="13"/>
  <c r="N52" s="1"/>
  <c r="P52" s="1"/>
  <c r="R52" s="1"/>
  <c r="M62" i="12"/>
  <c r="N62" s="1"/>
  <c r="P62" s="1"/>
  <c r="R62" s="1"/>
  <c r="M10" i="13"/>
  <c r="N10" s="1"/>
  <c r="P10" s="1"/>
  <c r="R10" s="1"/>
  <c r="M73" i="12"/>
  <c r="N73" s="1"/>
  <c r="P73" s="1"/>
  <c r="R73" s="1"/>
  <c r="M16"/>
  <c r="N16" s="1"/>
  <c r="P16" s="1"/>
  <c r="M28" i="13"/>
  <c r="N28" s="1"/>
  <c r="P28" s="1"/>
  <c r="R28" s="1"/>
  <c r="I62" i="9"/>
  <c r="I63" s="1"/>
  <c r="I65" s="1"/>
  <c r="K11"/>
  <c r="E135" i="18"/>
  <c r="C140"/>
  <c r="E203"/>
  <c r="F202"/>
  <c r="F203" s="1"/>
  <c r="G202"/>
  <c r="G203" s="1"/>
  <c r="AU8" i="5"/>
  <c r="AU43"/>
  <c r="AU56"/>
  <c r="AU59"/>
  <c r="AU31"/>
  <c r="AU58"/>
  <c r="AU34"/>
  <c r="AU10"/>
  <c r="AU55"/>
  <c r="AU27"/>
  <c r="AU62"/>
  <c r="AU30"/>
  <c r="AU61"/>
  <c r="AU41"/>
  <c r="AU25"/>
  <c r="AU60"/>
  <c r="AU28"/>
  <c r="AU57"/>
  <c r="AU13"/>
  <c r="AU24"/>
  <c r="AU29"/>
  <c r="AU32"/>
  <c r="AU39"/>
  <c r="AU15"/>
  <c r="AU42"/>
  <c r="AU26"/>
  <c r="AU35"/>
  <c r="AU11"/>
  <c r="AU54"/>
  <c r="AU14"/>
  <c r="AU53"/>
  <c r="AU33"/>
  <c r="AU9"/>
  <c r="AU36"/>
  <c r="AU12"/>
  <c r="AU37"/>
  <c r="AU40"/>
  <c r="AU18"/>
  <c r="AU23"/>
  <c r="AU48"/>
  <c r="AU49"/>
  <c r="AU50"/>
  <c r="AU64"/>
  <c r="AU65"/>
  <c r="AU44"/>
  <c r="AU63"/>
  <c r="AU69"/>
  <c r="AU38"/>
  <c r="AU66"/>
  <c r="AU67"/>
  <c r="AU72"/>
  <c r="AU73"/>
  <c r="AU51"/>
  <c r="AU21"/>
  <c r="AU70"/>
  <c r="AU71"/>
  <c r="AU68"/>
  <c r="AU22"/>
  <c r="AU19"/>
  <c r="AU20"/>
  <c r="AU17"/>
  <c r="AU75"/>
  <c r="AU47"/>
  <c r="AU45"/>
  <c r="AU46"/>
  <c r="AU52"/>
  <c r="AU74"/>
  <c r="AU76"/>
  <c r="AU16"/>
  <c r="K76" i="15"/>
  <c r="N76" s="1"/>
  <c r="N7"/>
  <c r="O7" s="1"/>
  <c r="K92" i="11"/>
  <c r="L91"/>
  <c r="L92" s="1"/>
  <c r="L94" s="1"/>
  <c r="G69"/>
  <c r="R45" i="2"/>
  <c r="S45" s="1"/>
  <c r="C44" i="3" s="1"/>
  <c r="P44" s="1"/>
  <c r="AB44" s="1"/>
  <c r="U45" i="2"/>
  <c r="C44" i="4" s="1"/>
  <c r="P44" s="1"/>
  <c r="AB44" s="1"/>
  <c r="S26" i="11"/>
  <c r="T26" s="1"/>
  <c r="AK26" s="1"/>
  <c r="AJ26"/>
  <c r="J62" i="9"/>
  <c r="E83" i="1" s="1"/>
  <c r="M193" i="23"/>
  <c r="K31" i="10"/>
  <c r="O12"/>
  <c r="P12" s="1"/>
  <c r="R12" s="1"/>
  <c r="T12" s="1"/>
  <c r="L30" i="9"/>
  <c r="N30" s="1"/>
  <c r="P30" s="1"/>
  <c r="L38"/>
  <c r="N38" s="1"/>
  <c r="P38" s="1"/>
  <c r="L13"/>
  <c r="N13" s="1"/>
  <c r="P13" s="1"/>
  <c r="L21"/>
  <c r="N21" s="1"/>
  <c r="P21" s="1"/>
  <c r="L40"/>
  <c r="N40" s="1"/>
  <c r="P40" s="1"/>
  <c r="L48"/>
  <c r="N48" s="1"/>
  <c r="P48" s="1"/>
  <c r="L57"/>
  <c r="N57" s="1"/>
  <c r="P57" s="1"/>
  <c r="L33"/>
  <c r="N33" s="1"/>
  <c r="P33" s="1"/>
  <c r="L59"/>
  <c r="N59" s="1"/>
  <c r="P59" s="1"/>
  <c r="L16"/>
  <c r="N16" s="1"/>
  <c r="P16" s="1"/>
  <c r="L24"/>
  <c r="N24" s="1"/>
  <c r="P24" s="1"/>
  <c r="L43"/>
  <c r="N43" s="1"/>
  <c r="P43" s="1"/>
  <c r="L51"/>
  <c r="N51" s="1"/>
  <c r="P51" s="1"/>
  <c r="L60"/>
  <c r="N60" s="1"/>
  <c r="P60" s="1"/>
  <c r="J19" i="10"/>
  <c r="E168" i="18"/>
  <c r="E190"/>
  <c r="L189" i="19"/>
  <c r="M189"/>
  <c r="E148" i="18"/>
  <c r="E152"/>
  <c r="E159"/>
  <c r="E163"/>
  <c r="E147"/>
  <c r="E167"/>
  <c r="E170"/>
  <c r="E174"/>
  <c r="K14" i="9"/>
  <c r="K18"/>
  <c r="K22"/>
  <c r="K26"/>
  <c r="K41"/>
  <c r="K45"/>
  <c r="K49"/>
  <c r="K53"/>
  <c r="K61"/>
  <c r="J47" i="11"/>
  <c r="J27"/>
  <c r="K18" i="10"/>
  <c r="K38" s="1"/>
  <c r="J28" i="11"/>
  <c r="K36" i="10"/>
  <c r="O13" l="1"/>
  <c r="P13" s="1"/>
  <c r="R13" s="1"/>
  <c r="T13" s="1"/>
  <c r="L11" i="11"/>
  <c r="L13" s="1"/>
  <c r="L28"/>
  <c r="L30" s="1"/>
  <c r="F200" i="18"/>
  <c r="T73" i="12"/>
  <c r="U73" s="1"/>
  <c r="AL73" s="1"/>
  <c r="AK73"/>
  <c r="T59" i="13"/>
  <c r="U59" s="1"/>
  <c r="AL59" s="1"/>
  <c r="AK59"/>
  <c r="T36" i="12"/>
  <c r="U36" s="1"/>
  <c r="AL36" s="1"/>
  <c r="AK36"/>
  <c r="T70"/>
  <c r="U70" s="1"/>
  <c r="AL70" s="1"/>
  <c r="AK70"/>
  <c r="AJ9" i="11"/>
  <c r="S9"/>
  <c r="T9" s="1"/>
  <c r="AK9" s="1"/>
  <c r="T20" i="13"/>
  <c r="U20" s="1"/>
  <c r="AL20" s="1"/>
  <c r="AK20"/>
  <c r="R18" i="12"/>
  <c r="T18" s="1"/>
  <c r="U18" s="1"/>
  <c r="AL18" s="1"/>
  <c r="AK18"/>
  <c r="AJ25" i="11"/>
  <c r="S25"/>
  <c r="T25" s="1"/>
  <c r="AK25" s="1"/>
  <c r="T6" i="13"/>
  <c r="U6" s="1"/>
  <c r="AL6" s="1"/>
  <c r="AK6"/>
  <c r="R10" i="12"/>
  <c r="T10" s="1"/>
  <c r="U10" s="1"/>
  <c r="AL10" s="1"/>
  <c r="AK10"/>
  <c r="T72" i="13"/>
  <c r="U72" s="1"/>
  <c r="AL72" s="1"/>
  <c r="AK72"/>
  <c r="T71" i="12"/>
  <c r="U71" s="1"/>
  <c r="AL71" s="1"/>
  <c r="AK71"/>
  <c r="T9" i="13"/>
  <c r="U9" s="1"/>
  <c r="AL9" s="1"/>
  <c r="AK9"/>
  <c r="T18"/>
  <c r="U18" s="1"/>
  <c r="AL18" s="1"/>
  <c r="AK18"/>
  <c r="T40" i="12"/>
  <c r="U40" s="1"/>
  <c r="AL40" s="1"/>
  <c r="AK40"/>
  <c r="T60" i="13"/>
  <c r="U60" s="1"/>
  <c r="AL60" s="1"/>
  <c r="AK60"/>
  <c r="AJ10" i="11"/>
  <c r="S10"/>
  <c r="T10" s="1"/>
  <c r="AK10" s="1"/>
  <c r="T13" i="13"/>
  <c r="U13" s="1"/>
  <c r="AL13" s="1"/>
  <c r="AK13"/>
  <c r="R11" i="12"/>
  <c r="T11" s="1"/>
  <c r="U11" s="1"/>
  <c r="AL11" s="1"/>
  <c r="AK11"/>
  <c r="T57" i="13"/>
  <c r="U57" s="1"/>
  <c r="AL57" s="1"/>
  <c r="AK57"/>
  <c r="T14"/>
  <c r="U14" s="1"/>
  <c r="AL14" s="1"/>
  <c r="AK14"/>
  <c r="AJ42" i="11"/>
  <c r="S42"/>
  <c r="T42" s="1"/>
  <c r="AK42" s="1"/>
  <c r="T48" i="12"/>
  <c r="U48" s="1"/>
  <c r="AL48" s="1"/>
  <c r="AK48"/>
  <c r="T31" i="13"/>
  <c r="U31" s="1"/>
  <c r="AL31" s="1"/>
  <c r="AK31"/>
  <c r="T32" i="12"/>
  <c r="U32" s="1"/>
  <c r="AL32" s="1"/>
  <c r="AK32"/>
  <c r="T44" i="13"/>
  <c r="U44" s="1"/>
  <c r="AL44" s="1"/>
  <c r="AK44"/>
  <c r="T26"/>
  <c r="U26" s="1"/>
  <c r="AL26" s="1"/>
  <c r="AK26"/>
  <c r="T34"/>
  <c r="U34" s="1"/>
  <c r="AL34" s="1"/>
  <c r="AK34"/>
  <c r="T50"/>
  <c r="U50" s="1"/>
  <c r="AL50" s="1"/>
  <c r="AK50"/>
  <c r="T46"/>
  <c r="U46" s="1"/>
  <c r="AL46" s="1"/>
  <c r="AK46"/>
  <c r="T37" i="12"/>
  <c r="U37" s="1"/>
  <c r="AL37" s="1"/>
  <c r="AK37"/>
  <c r="T19" i="13"/>
  <c r="U19" s="1"/>
  <c r="AL19" s="1"/>
  <c r="AK19"/>
  <c r="T26" i="12"/>
  <c r="U26" s="1"/>
  <c r="AL26" s="1"/>
  <c r="AK26"/>
  <c r="T54" i="13"/>
  <c r="U54" s="1"/>
  <c r="AL54" s="1"/>
  <c r="AK54"/>
  <c r="T65"/>
  <c r="U65" s="1"/>
  <c r="AL65" s="1"/>
  <c r="AK65"/>
  <c r="T39" i="12"/>
  <c r="U39" s="1"/>
  <c r="AL39" s="1"/>
  <c r="AK39"/>
  <c r="F174" i="18"/>
  <c r="G174"/>
  <c r="G167"/>
  <c r="F167"/>
  <c r="F163"/>
  <c r="G163"/>
  <c r="G152"/>
  <c r="F152"/>
  <c r="F190"/>
  <c r="G190"/>
  <c r="O76" i="15"/>
  <c r="Q7"/>
  <c r="O6" i="4"/>
  <c r="O75" s="1"/>
  <c r="T28" i="13"/>
  <c r="U28" s="1"/>
  <c r="AL28" s="1"/>
  <c r="AK28"/>
  <c r="R16" i="12"/>
  <c r="T16" s="1"/>
  <c r="U16" s="1"/>
  <c r="AL16" s="1"/>
  <c r="AK16"/>
  <c r="T10" i="13"/>
  <c r="U10" s="1"/>
  <c r="AL10" s="1"/>
  <c r="AK10"/>
  <c r="T62" i="12"/>
  <c r="U62" s="1"/>
  <c r="AL62" s="1"/>
  <c r="AK62"/>
  <c r="T52" i="13"/>
  <c r="U52" s="1"/>
  <c r="AL52" s="1"/>
  <c r="AK52"/>
  <c r="T8"/>
  <c r="U8" s="1"/>
  <c r="AL8" s="1"/>
  <c r="AK8"/>
  <c r="R24" i="12"/>
  <c r="T24" s="1"/>
  <c r="U24" s="1"/>
  <c r="AL24" s="1"/>
  <c r="AK24"/>
  <c r="T68" i="13"/>
  <c r="U68" s="1"/>
  <c r="AL68" s="1"/>
  <c r="AK68"/>
  <c r="AO13" i="10"/>
  <c r="V13"/>
  <c r="W13" s="1"/>
  <c r="AP13" s="1"/>
  <c r="U32" i="2"/>
  <c r="C31" i="4" s="1"/>
  <c r="P31" s="1"/>
  <c r="AB31" s="1"/>
  <c r="R32" i="2"/>
  <c r="S32" s="1"/>
  <c r="C31" i="3" s="1"/>
  <c r="P31" s="1"/>
  <c r="AB31" s="1"/>
  <c r="R23" i="12"/>
  <c r="T23" s="1"/>
  <c r="U23" s="1"/>
  <c r="AL23" s="1"/>
  <c r="AK23"/>
  <c r="L15" i="11"/>
  <c r="M13"/>
  <c r="R28" i="10"/>
  <c r="L38"/>
  <c r="L23" i="2"/>
  <c r="N23" s="1"/>
  <c r="P23" s="1"/>
  <c r="T55" i="12"/>
  <c r="U55" s="1"/>
  <c r="AL55" s="1"/>
  <c r="AK55"/>
  <c r="T29"/>
  <c r="U29" s="1"/>
  <c r="AL29" s="1"/>
  <c r="AK29"/>
  <c r="T63"/>
  <c r="U63" s="1"/>
  <c r="AL63" s="1"/>
  <c r="AK63"/>
  <c r="T35" i="13"/>
  <c r="U35" s="1"/>
  <c r="AL35" s="1"/>
  <c r="AK35"/>
  <c r="T49" i="12"/>
  <c r="U49" s="1"/>
  <c r="AL49" s="1"/>
  <c r="AK49"/>
  <c r="U73" i="2"/>
  <c r="C72" i="4" s="1"/>
  <c r="P72" s="1"/>
  <c r="AB72" s="1"/>
  <c r="R73" i="2"/>
  <c r="S73" s="1"/>
  <c r="C72" i="3" s="1"/>
  <c r="P72" s="1"/>
  <c r="AB72" s="1"/>
  <c r="AJ8" i="11"/>
  <c r="S8"/>
  <c r="T8" s="1"/>
  <c r="AK8" s="1"/>
  <c r="T25" i="13"/>
  <c r="U25" s="1"/>
  <c r="AL25" s="1"/>
  <c r="AK25"/>
  <c r="T35" i="12"/>
  <c r="U35" s="1"/>
  <c r="AL35" s="1"/>
  <c r="AK35"/>
  <c r="T21" i="13"/>
  <c r="U21" s="1"/>
  <c r="AL21" s="1"/>
  <c r="AK21"/>
  <c r="T43" i="12"/>
  <c r="U43" s="1"/>
  <c r="AL43" s="1"/>
  <c r="AK43"/>
  <c r="F153" i="18"/>
  <c r="G153"/>
  <c r="F184"/>
  <c r="G184"/>
  <c r="F176"/>
  <c r="G176"/>
  <c r="G158"/>
  <c r="F158"/>
  <c r="F145"/>
  <c r="G145"/>
  <c r="G171"/>
  <c r="F171"/>
  <c r="M30" i="11"/>
  <c r="L32"/>
  <c r="L69"/>
  <c r="M67"/>
  <c r="R12" i="12"/>
  <c r="T12" s="1"/>
  <c r="U12" s="1"/>
  <c r="AL12" s="1"/>
  <c r="AK12"/>
  <c r="T42"/>
  <c r="U42" s="1"/>
  <c r="AL42" s="1"/>
  <c r="AK42"/>
  <c r="U43" i="2"/>
  <c r="C42" i="4" s="1"/>
  <c r="P42" s="1"/>
  <c r="AB42" s="1"/>
  <c r="R43" i="2"/>
  <c r="S43" s="1"/>
  <c r="C42" i="3" s="1"/>
  <c r="P42" s="1"/>
  <c r="AB42" s="1"/>
  <c r="T53" i="12"/>
  <c r="U53" s="1"/>
  <c r="AL53" s="1"/>
  <c r="AK53"/>
  <c r="T65"/>
  <c r="U65" s="1"/>
  <c r="AL65" s="1"/>
  <c r="AK65"/>
  <c r="R13"/>
  <c r="T13" s="1"/>
  <c r="U13" s="1"/>
  <c r="AL13" s="1"/>
  <c r="AK13"/>
  <c r="T33" i="13"/>
  <c r="U33" s="1"/>
  <c r="AL33" s="1"/>
  <c r="AK33"/>
  <c r="T47"/>
  <c r="U47" s="1"/>
  <c r="AL47" s="1"/>
  <c r="AK47"/>
  <c r="R19" i="12"/>
  <c r="T19" s="1"/>
  <c r="U19" s="1"/>
  <c r="AL19" s="1"/>
  <c r="AK19"/>
  <c r="T49" i="13"/>
  <c r="U49" s="1"/>
  <c r="AL49" s="1"/>
  <c r="AK49"/>
  <c r="T11"/>
  <c r="U11" s="1"/>
  <c r="AL11" s="1"/>
  <c r="AK11"/>
  <c r="M47" i="11"/>
  <c r="O41"/>
  <c r="H58" i="1"/>
  <c r="G58"/>
  <c r="H56"/>
  <c r="G56"/>
  <c r="L62" i="9"/>
  <c r="L63" s="1"/>
  <c r="N11"/>
  <c r="T58" i="12"/>
  <c r="U58" s="1"/>
  <c r="AL58" s="1"/>
  <c r="AK58"/>
  <c r="T64"/>
  <c r="U64" s="1"/>
  <c r="AL64" s="1"/>
  <c r="AK64"/>
  <c r="T17" i="13"/>
  <c r="U17" s="1"/>
  <c r="AL17" s="1"/>
  <c r="AK17"/>
  <c r="T51"/>
  <c r="U51" s="1"/>
  <c r="AL51" s="1"/>
  <c r="AK51"/>
  <c r="T67"/>
  <c r="U67" s="1"/>
  <c r="AL67" s="1"/>
  <c r="AK67"/>
  <c r="T66"/>
  <c r="U66" s="1"/>
  <c r="AL66" s="1"/>
  <c r="AK66"/>
  <c r="T38" i="12"/>
  <c r="U38" s="1"/>
  <c r="AL38" s="1"/>
  <c r="AK38"/>
  <c r="AJ27" i="11"/>
  <c r="S27"/>
  <c r="T27" s="1"/>
  <c r="AK27" s="1"/>
  <c r="AG87" i="5"/>
  <c r="E37" i="1"/>
  <c r="AF77" i="5"/>
  <c r="T56" i="13"/>
  <c r="U56" s="1"/>
  <c r="AL56" s="1"/>
  <c r="AK56"/>
  <c r="K62" i="9"/>
  <c r="M6" i="11"/>
  <c r="J63" i="9"/>
  <c r="J65" s="1"/>
  <c r="M60" i="11"/>
  <c r="K63" i="9"/>
  <c r="K65" s="1"/>
  <c r="O17" i="10"/>
  <c r="P17" s="1"/>
  <c r="R17" s="1"/>
  <c r="T17" s="1"/>
  <c r="L96" i="11"/>
  <c r="M94"/>
  <c r="F170" i="18"/>
  <c r="G170"/>
  <c r="F147"/>
  <c r="G147"/>
  <c r="F159"/>
  <c r="G159"/>
  <c r="G148"/>
  <c r="F148"/>
  <c r="F168"/>
  <c r="G168"/>
  <c r="V12" i="10"/>
  <c r="W12" s="1"/>
  <c r="AP12" s="1"/>
  <c r="AO12"/>
  <c r="G135" i="18"/>
  <c r="G140" s="1"/>
  <c r="E140"/>
  <c r="F135"/>
  <c r="F140" s="1"/>
  <c r="M30" i="10"/>
  <c r="O29"/>
  <c r="L15" i="2"/>
  <c r="L31" i="10"/>
  <c r="M18"/>
  <c r="M38" s="1"/>
  <c r="O10"/>
  <c r="U74" i="2"/>
  <c r="C73" i="4" s="1"/>
  <c r="P73" s="1"/>
  <c r="AB73" s="1"/>
  <c r="R74" i="2"/>
  <c r="S74" s="1"/>
  <c r="C73" i="3" s="1"/>
  <c r="P73" s="1"/>
  <c r="AB73" s="1"/>
  <c r="AO23" i="10"/>
  <c r="V23"/>
  <c r="W23" s="1"/>
  <c r="AP23" s="1"/>
  <c r="F110" i="18"/>
  <c r="F111" s="1"/>
  <c r="G110"/>
  <c r="G111" s="1"/>
  <c r="F188"/>
  <c r="G188"/>
  <c r="F180"/>
  <c r="G180"/>
  <c r="G162"/>
  <c r="F162"/>
  <c r="F151"/>
  <c r="G151"/>
  <c r="G189"/>
  <c r="F189"/>
  <c r="G185"/>
  <c r="F185"/>
  <c r="G181"/>
  <c r="F181"/>
  <c r="G177"/>
  <c r="F177"/>
  <c r="U62" i="2"/>
  <c r="C61" i="4" s="1"/>
  <c r="P61" s="1"/>
  <c r="AB61" s="1"/>
  <c r="R62" i="2"/>
  <c r="S62" s="1"/>
  <c r="C61" i="3" s="1"/>
  <c r="P61" s="1"/>
  <c r="AB61" s="1"/>
  <c r="E192" i="18"/>
  <c r="G142"/>
  <c r="F142"/>
  <c r="F192" s="1"/>
  <c r="O77" i="11"/>
  <c r="M79"/>
  <c r="L83"/>
  <c r="M81"/>
  <c r="E90" i="1"/>
  <c r="G90" s="1"/>
  <c r="H60"/>
  <c r="G60"/>
  <c r="H65" i="9"/>
  <c r="E55" i="1"/>
  <c r="U75" i="2"/>
  <c r="C74" i="4" s="1"/>
  <c r="P74" s="1"/>
  <c r="AB74" s="1"/>
  <c r="R75" i="2"/>
  <c r="S75" s="1"/>
  <c r="C74" i="3" s="1"/>
  <c r="P74" s="1"/>
  <c r="AB74" s="1"/>
  <c r="AO8" i="5"/>
  <c r="AG77"/>
  <c r="AH8"/>
  <c r="AK8"/>
  <c r="M91" i="11"/>
  <c r="M76" i="2"/>
  <c r="N18" i="10"/>
  <c r="N38" s="1"/>
  <c r="K19"/>
  <c r="L19"/>
  <c r="M24" i="11"/>
  <c r="E75" i="1"/>
  <c r="G75" s="1"/>
  <c r="E111" i="18"/>
  <c r="G200"/>
  <c r="L47" i="11"/>
  <c r="L49" s="1"/>
  <c r="G119" i="18"/>
  <c r="F119"/>
  <c r="M49" i="11" l="1"/>
  <c r="L51"/>
  <c r="N40" i="10"/>
  <c r="O40" s="1"/>
  <c r="V40" s="1"/>
  <c r="M92" i="11"/>
  <c r="O91"/>
  <c r="AO77" i="5"/>
  <c r="BA8"/>
  <c r="BA77" s="1"/>
  <c r="AP8"/>
  <c r="D7" i="15" s="1"/>
  <c r="E7" s="1"/>
  <c r="F7" s="1"/>
  <c r="C7" i="2"/>
  <c r="AW8" i="5"/>
  <c r="AQ8" s="1"/>
  <c r="S81" i="11"/>
  <c r="M83"/>
  <c r="M42" i="10"/>
  <c r="O42" s="1"/>
  <c r="V42" s="1"/>
  <c r="N15" i="2"/>
  <c r="P15" s="1"/>
  <c r="T94" i="11"/>
  <c r="M96"/>
  <c r="S94"/>
  <c r="AO17" i="10"/>
  <c r="V17"/>
  <c r="W17" s="1"/>
  <c r="AP17" s="1"/>
  <c r="H37" i="1"/>
  <c r="G37"/>
  <c r="E38"/>
  <c r="P11" i="9"/>
  <c r="P62" s="1"/>
  <c r="P63" s="1"/>
  <c r="N62"/>
  <c r="N63" s="1"/>
  <c r="O47" i="11"/>
  <c r="Q41"/>
  <c r="S67"/>
  <c r="U23" i="2"/>
  <c r="C22" i="4" s="1"/>
  <c r="P22" s="1"/>
  <c r="AB22" s="1"/>
  <c r="R23" i="2"/>
  <c r="S23" s="1"/>
  <c r="C22" i="3" s="1"/>
  <c r="P22" s="1"/>
  <c r="AB22" s="1"/>
  <c r="T28" i="10"/>
  <c r="S13" i="11"/>
  <c r="O24"/>
  <c r="M28"/>
  <c r="AK77" i="5"/>
  <c r="AL77" s="1"/>
  <c r="AL8"/>
  <c r="AO87"/>
  <c r="AH77"/>
  <c r="AK87"/>
  <c r="G55" i="1"/>
  <c r="E54"/>
  <c r="H55"/>
  <c r="O79" i="11"/>
  <c r="Q77"/>
  <c r="O18" i="10"/>
  <c r="P10"/>
  <c r="O30"/>
  <c r="P29"/>
  <c r="M65" i="11"/>
  <c r="M69" s="1"/>
  <c r="O60"/>
  <c r="M11"/>
  <c r="M15" s="1"/>
  <c r="O6"/>
  <c r="L65" i="9"/>
  <c r="L42" i="2"/>
  <c r="N42" s="1"/>
  <c r="P42" s="1"/>
  <c r="M32" i="11"/>
  <c r="S30"/>
  <c r="Q76" i="15"/>
  <c r="R7"/>
  <c r="G192" i="18"/>
  <c r="M44" i="10" l="1"/>
  <c r="AR8" i="5"/>
  <c r="AR47"/>
  <c r="AR22"/>
  <c r="AR20"/>
  <c r="AR69"/>
  <c r="AR28"/>
  <c r="AR54"/>
  <c r="AR42"/>
  <c r="AR40"/>
  <c r="AR73"/>
  <c r="AR67"/>
  <c r="AR62"/>
  <c r="AR25"/>
  <c r="AR10"/>
  <c r="AR39"/>
  <c r="AR37"/>
  <c r="AR30"/>
  <c r="AR60"/>
  <c r="AR55"/>
  <c r="AR58"/>
  <c r="AR56"/>
  <c r="AR9"/>
  <c r="AR31"/>
  <c r="AR33"/>
  <c r="AR61"/>
  <c r="AR24"/>
  <c r="AR71"/>
  <c r="AR18"/>
  <c r="AR49"/>
  <c r="AR35"/>
  <c r="AR53"/>
  <c r="AR26"/>
  <c r="AR59"/>
  <c r="AR43"/>
  <c r="AR27"/>
  <c r="AR13"/>
  <c r="AR12"/>
  <c r="AR34"/>
  <c r="AR57"/>
  <c r="AR74"/>
  <c r="AR66"/>
  <c r="AR44"/>
  <c r="AR21"/>
  <c r="AR64"/>
  <c r="AR32"/>
  <c r="AR38"/>
  <c r="AR52"/>
  <c r="AR75"/>
  <c r="AR70"/>
  <c r="AR50"/>
  <c r="AR23"/>
  <c r="AR68"/>
  <c r="AR65"/>
  <c r="AR72"/>
  <c r="AR45"/>
  <c r="AR15"/>
  <c r="AR19"/>
  <c r="AR14"/>
  <c r="AR17"/>
  <c r="AR41"/>
  <c r="AR51"/>
  <c r="AR46"/>
  <c r="AR11"/>
  <c r="AR48"/>
  <c r="AR36"/>
  <c r="AR63"/>
  <c r="AR29"/>
  <c r="AR16"/>
  <c r="AR76"/>
  <c r="H54" i="1"/>
  <c r="E89"/>
  <c r="G54"/>
  <c r="C20" i="8"/>
  <c r="C19"/>
  <c r="C9"/>
  <c r="C8"/>
  <c r="Q24" i="11"/>
  <c r="O28"/>
  <c r="C76" i="2"/>
  <c r="M51" i="11"/>
  <c r="S49"/>
  <c r="O38" i="10"/>
  <c r="O44" s="1"/>
  <c r="L76" i="2"/>
  <c r="N44" i="10"/>
  <c r="R76" i="15"/>
  <c r="O6" i="3"/>
  <c r="O75" s="1"/>
  <c r="U42" i="2"/>
  <c r="C41" i="4" s="1"/>
  <c r="P41" s="1"/>
  <c r="AB41" s="1"/>
  <c r="R42" i="2"/>
  <c r="S42" s="1"/>
  <c r="C41" i="3" s="1"/>
  <c r="P41" s="1"/>
  <c r="AB41" s="1"/>
  <c r="O11" i="11"/>
  <c r="Q6"/>
  <c r="Q60"/>
  <c r="O65"/>
  <c r="R29" i="10"/>
  <c r="P30"/>
  <c r="P18"/>
  <c r="R10"/>
  <c r="V77" i="11"/>
  <c r="V79" s="1"/>
  <c r="Q79"/>
  <c r="AL77"/>
  <c r="AL79" s="1"/>
  <c r="S77"/>
  <c r="H6" i="23"/>
  <c r="J6" s="1"/>
  <c r="K6" s="1"/>
  <c r="H6" i="19"/>
  <c r="J6" s="1"/>
  <c r="K6" s="1"/>
  <c r="D5" i="13"/>
  <c r="D5" i="12"/>
  <c r="AO28" i="10"/>
  <c r="V28"/>
  <c r="Q47" i="11"/>
  <c r="S41"/>
  <c r="AJ41"/>
  <c r="AJ47" s="1"/>
  <c r="G38" i="1"/>
  <c r="E48"/>
  <c r="H38"/>
  <c r="U15" i="2"/>
  <c r="C14" i="4" s="1"/>
  <c r="P14" s="1"/>
  <c r="AB14" s="1"/>
  <c r="R15" i="2"/>
  <c r="S15" s="1"/>
  <c r="C14" i="3" s="1"/>
  <c r="P14" s="1"/>
  <c r="AB14" s="1"/>
  <c r="AW77" i="5"/>
  <c r="AX8"/>
  <c r="AV8"/>
  <c r="H6" i="26"/>
  <c r="I6" s="1"/>
  <c r="H6" i="22"/>
  <c r="I6" s="1"/>
  <c r="G7" i="15"/>
  <c r="AP77" i="5"/>
  <c r="AW87"/>
  <c r="O92" i="11"/>
  <c r="Q91"/>
  <c r="Q92" l="1"/>
  <c r="AJ91"/>
  <c r="AJ92" s="1"/>
  <c r="S91"/>
  <c r="D76" i="15"/>
  <c r="E76" s="1"/>
  <c r="F76" s="1"/>
  <c r="E49" i="1"/>
  <c r="AX77" i="5"/>
  <c r="AV77"/>
  <c r="G48" i="1"/>
  <c r="H48"/>
  <c r="H6" i="24"/>
  <c r="J6" s="1"/>
  <c r="K6" s="1"/>
  <c r="H6" i="20"/>
  <c r="J6" s="1"/>
  <c r="K6" s="1"/>
  <c r="E5" i="12"/>
  <c r="L6" i="19"/>
  <c r="L75" s="1"/>
  <c r="K75"/>
  <c r="M6"/>
  <c r="M75" s="1"/>
  <c r="C5" i="18"/>
  <c r="I7" i="2"/>
  <c r="T77" i="11"/>
  <c r="S79"/>
  <c r="T10" i="10"/>
  <c r="R18"/>
  <c r="AJ6" i="11"/>
  <c r="AJ11" s="1"/>
  <c r="Q11"/>
  <c r="S6"/>
  <c r="Q28"/>
  <c r="S24"/>
  <c r="AJ24"/>
  <c r="AJ28" s="1"/>
  <c r="H78" i="23"/>
  <c r="J78" s="1"/>
  <c r="K78" s="1"/>
  <c r="H78" i="19"/>
  <c r="J78" s="1"/>
  <c r="K78" s="1"/>
  <c r="D9" i="8"/>
  <c r="G9" s="1"/>
  <c r="H84" i="23"/>
  <c r="J84" s="1"/>
  <c r="K84" s="1"/>
  <c r="H84" i="19"/>
  <c r="J84" s="1"/>
  <c r="K84" s="1"/>
  <c r="D20" i="8"/>
  <c r="G20" s="1"/>
  <c r="G89" i="1"/>
  <c r="H89"/>
  <c r="I75" i="22"/>
  <c r="K6"/>
  <c r="K75" s="1"/>
  <c r="J6"/>
  <c r="J75" s="1"/>
  <c r="G76" i="15"/>
  <c r="E62" i="1" s="1"/>
  <c r="S7" i="15"/>
  <c r="S76" s="1"/>
  <c r="I7"/>
  <c r="J6" i="26"/>
  <c r="J75" s="1"/>
  <c r="I75"/>
  <c r="K6"/>
  <c r="K75" s="1"/>
  <c r="AY8" i="5"/>
  <c r="AY30"/>
  <c r="AY53"/>
  <c r="AY26"/>
  <c r="AY9"/>
  <c r="AY54"/>
  <c r="AY40"/>
  <c r="AY34"/>
  <c r="AY60"/>
  <c r="AY55"/>
  <c r="AY56"/>
  <c r="AY31"/>
  <c r="AY62"/>
  <c r="AY39"/>
  <c r="AY37"/>
  <c r="AY33"/>
  <c r="AY24"/>
  <c r="AY35"/>
  <c r="AY59"/>
  <c r="AY13"/>
  <c r="AY28"/>
  <c r="AY10"/>
  <c r="AY61"/>
  <c r="AY58"/>
  <c r="AY43"/>
  <c r="AY27"/>
  <c r="AY25"/>
  <c r="AY42"/>
  <c r="AY12"/>
  <c r="AY57"/>
  <c r="AY14"/>
  <c r="AY64"/>
  <c r="AY38"/>
  <c r="AY66"/>
  <c r="AY69"/>
  <c r="AY29"/>
  <c r="AY75"/>
  <c r="AY23"/>
  <c r="AY70"/>
  <c r="AY51"/>
  <c r="AY74"/>
  <c r="AY67"/>
  <c r="AY47"/>
  <c r="AY21"/>
  <c r="AY22"/>
  <c r="AY18"/>
  <c r="AY71"/>
  <c r="AY36"/>
  <c r="AY46"/>
  <c r="AY17"/>
  <c r="AY32"/>
  <c r="AY72"/>
  <c r="AY44"/>
  <c r="AY19"/>
  <c r="AY65"/>
  <c r="AY11"/>
  <c r="AY49"/>
  <c r="AY68"/>
  <c r="AY63"/>
  <c r="AY41"/>
  <c r="AY73"/>
  <c r="AY45"/>
  <c r="AY15"/>
  <c r="AY20"/>
  <c r="AY50"/>
  <c r="AY48"/>
  <c r="AY52"/>
  <c r="AY76"/>
  <c r="AY16"/>
  <c r="S47" i="11"/>
  <c r="T41"/>
  <c r="W28" i="10"/>
  <c r="H6" i="25"/>
  <c r="J6" s="1"/>
  <c r="K6" s="1"/>
  <c r="H6" i="21"/>
  <c r="J6" s="1"/>
  <c r="K6" s="1"/>
  <c r="E5" i="13"/>
  <c r="K75" i="23"/>
  <c r="L6"/>
  <c r="L75" s="1"/>
  <c r="M6"/>
  <c r="M75" s="1"/>
  <c r="D5" i="18"/>
  <c r="D74" s="1"/>
  <c r="J7" i="2"/>
  <c r="J76" s="1"/>
  <c r="T29" i="10"/>
  <c r="R30"/>
  <c r="AJ60" i="11"/>
  <c r="AJ65" s="1"/>
  <c r="S60"/>
  <c r="Q65"/>
  <c r="H77" i="23"/>
  <c r="J77" s="1"/>
  <c r="K77" s="1"/>
  <c r="H77" i="19"/>
  <c r="J77" s="1"/>
  <c r="K77" s="1"/>
  <c r="D8" i="8"/>
  <c r="H81" i="23"/>
  <c r="J81" s="1"/>
  <c r="K81" s="1"/>
  <c r="H81" i="19"/>
  <c r="J81" s="1"/>
  <c r="K81" s="1"/>
  <c r="D19" i="8"/>
  <c r="AQ77" i="5"/>
  <c r="P38" i="10"/>
  <c r="D21" i="8" l="1"/>
  <c r="G19"/>
  <c r="K82" i="23"/>
  <c r="M81"/>
  <c r="M82" s="1"/>
  <c r="L81"/>
  <c r="L82" s="1"/>
  <c r="D80" i="18"/>
  <c r="D81" s="1"/>
  <c r="K19" i="8"/>
  <c r="M77" i="19"/>
  <c r="K79"/>
  <c r="L77"/>
  <c r="C76" i="18"/>
  <c r="J8" i="8"/>
  <c r="AO29" i="10"/>
  <c r="AO30" s="1"/>
  <c r="V29"/>
  <c r="T30"/>
  <c r="E74" i="13"/>
  <c r="E78" s="1"/>
  <c r="H5"/>
  <c r="K75" i="25"/>
  <c r="K98" i="23" s="1"/>
  <c r="L6" i="25"/>
  <c r="L75" s="1"/>
  <c r="M6"/>
  <c r="M75" s="1"/>
  <c r="J5" i="13"/>
  <c r="J74" s="1"/>
  <c r="AP28" i="10"/>
  <c r="K209" i="23"/>
  <c r="K205" i="19"/>
  <c r="L84"/>
  <c r="L85" s="1"/>
  <c r="K85"/>
  <c r="M84"/>
  <c r="M85" s="1"/>
  <c r="C83" i="18"/>
  <c r="J20" i="8"/>
  <c r="I9"/>
  <c r="E53" i="1"/>
  <c r="L78" i="23"/>
  <c r="M78"/>
  <c r="D77" i="18"/>
  <c r="K9" i="8"/>
  <c r="T24" i="11"/>
  <c r="S28"/>
  <c r="T6"/>
  <c r="S11"/>
  <c r="T18" i="10"/>
  <c r="T38" s="1"/>
  <c r="AO10"/>
  <c r="AO18" s="1"/>
  <c r="AO38" s="1"/>
  <c r="V10"/>
  <c r="T79" i="11"/>
  <c r="AM77"/>
  <c r="AM79" s="1"/>
  <c r="E5" i="18"/>
  <c r="C74"/>
  <c r="K211" i="19"/>
  <c r="E74" i="1"/>
  <c r="E74" i="12"/>
  <c r="E78" s="1"/>
  <c r="H5"/>
  <c r="K75" i="24"/>
  <c r="K97" i="23" s="1"/>
  <c r="M6" i="24"/>
  <c r="M75" s="1"/>
  <c r="L6"/>
  <c r="L75" s="1"/>
  <c r="J5" i="12"/>
  <c r="J74" s="1"/>
  <c r="H49" i="1"/>
  <c r="G49"/>
  <c r="S92" i="11"/>
  <c r="T91"/>
  <c r="K82" i="19"/>
  <c r="M81"/>
  <c r="M82" s="1"/>
  <c r="L81"/>
  <c r="L82" s="1"/>
  <c r="C80" i="18"/>
  <c r="J19" i="8"/>
  <c r="D10"/>
  <c r="G8"/>
  <c r="M77" i="23"/>
  <c r="K79"/>
  <c r="L77"/>
  <c r="L79" s="1"/>
  <c r="D76" i="18"/>
  <c r="D78" s="1"/>
  <c r="K8" i="8"/>
  <c r="S65" i="11"/>
  <c r="T60"/>
  <c r="K215" i="23"/>
  <c r="E82" i="1"/>
  <c r="G82" s="1"/>
  <c r="K75" i="21"/>
  <c r="K98" i="19" s="1"/>
  <c r="M6" i="21"/>
  <c r="M75" s="1"/>
  <c r="L6"/>
  <c r="L75" s="1"/>
  <c r="I5" i="13"/>
  <c r="AK41" i="11"/>
  <c r="AK47" s="1"/>
  <c r="T47"/>
  <c r="I76" i="15"/>
  <c r="J7"/>
  <c r="G62" i="1"/>
  <c r="H62"/>
  <c r="I20" i="8"/>
  <c r="E66" i="1"/>
  <c r="G66" s="1"/>
  <c r="L84" i="23"/>
  <c r="L85" s="1"/>
  <c r="K85"/>
  <c r="M84"/>
  <c r="M85" s="1"/>
  <c r="D83" i="18"/>
  <c r="D84" s="1"/>
  <c r="K20" i="8"/>
  <c r="E88" i="1" s="1"/>
  <c r="L78" i="19"/>
  <c r="M78"/>
  <c r="C77" i="18"/>
  <c r="E77" s="1"/>
  <c r="J9" i="8"/>
  <c r="L9" s="1"/>
  <c r="I76" i="2"/>
  <c r="K7"/>
  <c r="K76" s="1"/>
  <c r="N7"/>
  <c r="K75" i="20"/>
  <c r="K97" i="19" s="1"/>
  <c r="M6" i="20"/>
  <c r="M75" s="1"/>
  <c r="L6"/>
  <c r="L75" s="1"/>
  <c r="I5" i="12"/>
  <c r="R38" i="10"/>
  <c r="K10" i="8" l="1"/>
  <c r="E85" i="1" s="1"/>
  <c r="M79" i="23"/>
  <c r="E84" i="1"/>
  <c r="I74" i="12"/>
  <c r="K5"/>
  <c r="K74" s="1"/>
  <c r="N76" i="2"/>
  <c r="P7"/>
  <c r="F77" i="18"/>
  <c r="G77"/>
  <c r="J76" i="15"/>
  <c r="V7"/>
  <c r="V76" s="1"/>
  <c r="I74" i="13"/>
  <c r="K5"/>
  <c r="K74" s="1"/>
  <c r="I8" i="8"/>
  <c r="E52" i="1"/>
  <c r="G10" i="8"/>
  <c r="J21"/>
  <c r="L19"/>
  <c r="E80" i="1"/>
  <c r="G80" s="1"/>
  <c r="L97" i="23"/>
  <c r="K99"/>
  <c r="K216" s="1"/>
  <c r="M97"/>
  <c r="D96" i="18"/>
  <c r="W10" i="10"/>
  <c r="V18"/>
  <c r="T11" i="11"/>
  <c r="T15" s="1"/>
  <c r="AK6"/>
  <c r="AK11" s="1"/>
  <c r="T28"/>
  <c r="AK24"/>
  <c r="AK28" s="1"/>
  <c r="C84" i="18"/>
  <c r="E83"/>
  <c r="K214" i="19"/>
  <c r="M205"/>
  <c r="L205"/>
  <c r="C208" i="18"/>
  <c r="E78" i="1"/>
  <c r="G78" s="1"/>
  <c r="H74" i="13"/>
  <c r="H78" s="1"/>
  <c r="L5"/>
  <c r="C78" i="18"/>
  <c r="E76"/>
  <c r="K21" i="8"/>
  <c r="E87" i="1"/>
  <c r="K217" i="23"/>
  <c r="M9" i="8"/>
  <c r="O9" s="1"/>
  <c r="Q9" s="1"/>
  <c r="R9" s="1"/>
  <c r="K213" i="19"/>
  <c r="L97"/>
  <c r="K99"/>
  <c r="K212" s="1"/>
  <c r="K215" s="1"/>
  <c r="M97"/>
  <c r="C96" i="18"/>
  <c r="L98" i="19"/>
  <c r="M98"/>
  <c r="C97" i="18"/>
  <c r="T65" i="11"/>
  <c r="AK60"/>
  <c r="AK65" s="1"/>
  <c r="C81" i="18"/>
  <c r="E80"/>
  <c r="AK91" i="11"/>
  <c r="AK92" s="1"/>
  <c r="T92"/>
  <c r="T96" s="1"/>
  <c r="H74" i="12"/>
  <c r="L5"/>
  <c r="G74" i="1"/>
  <c r="G5" i="18"/>
  <c r="G74" s="1"/>
  <c r="E74"/>
  <c r="F5"/>
  <c r="F74" s="1"/>
  <c r="G53" i="1"/>
  <c r="H53"/>
  <c r="E51"/>
  <c r="L20" i="8"/>
  <c r="M20" s="1"/>
  <c r="O20" s="1"/>
  <c r="Q20" s="1"/>
  <c r="R20" s="1"/>
  <c r="E81" i="1"/>
  <c r="G81" s="1"/>
  <c r="K218" i="23"/>
  <c r="M209"/>
  <c r="L209"/>
  <c r="L98"/>
  <c r="M98"/>
  <c r="D97" i="18"/>
  <c r="W29" i="10"/>
  <c r="V30"/>
  <c r="J10" i="8"/>
  <c r="E77" i="1" s="1"/>
  <c r="G77" s="1"/>
  <c r="L8" i="8"/>
  <c r="L10" s="1"/>
  <c r="G21"/>
  <c r="I19"/>
  <c r="E65" i="1"/>
  <c r="G65" s="1"/>
  <c r="K219" i="23"/>
  <c r="L79" i="19"/>
  <c r="M79"/>
  <c r="M99" l="1"/>
  <c r="M207" s="1"/>
  <c r="AP29" i="10"/>
  <c r="AP30" s="1"/>
  <c r="W30"/>
  <c r="H78" i="12"/>
  <c r="E61" i="1"/>
  <c r="G61" s="1"/>
  <c r="C98" i="18"/>
  <c r="C210" s="1"/>
  <c r="E96"/>
  <c r="E78"/>
  <c r="G76"/>
  <c r="G78" s="1"/>
  <c r="F76"/>
  <c r="F78" s="1"/>
  <c r="L74" i="13"/>
  <c r="M5"/>
  <c r="M74" s="1"/>
  <c r="W18" i="10"/>
  <c r="W38" s="1"/>
  <c r="AP10"/>
  <c r="AP18" s="1"/>
  <c r="AP38" s="1"/>
  <c r="M8" i="8"/>
  <c r="I10"/>
  <c r="M99" i="23"/>
  <c r="M211" s="1"/>
  <c r="L99"/>
  <c r="L211" s="1"/>
  <c r="L21" i="8"/>
  <c r="E76" i="1"/>
  <c r="K211" i="23"/>
  <c r="I21" i="8"/>
  <c r="M19"/>
  <c r="G51" i="1"/>
  <c r="H51"/>
  <c r="L74" i="12"/>
  <c r="M5"/>
  <c r="M74" s="1"/>
  <c r="E81" i="18"/>
  <c r="F80"/>
  <c r="F81" s="1"/>
  <c r="G80"/>
  <c r="G81" s="1"/>
  <c r="E84"/>
  <c r="F83"/>
  <c r="F84" s="1"/>
  <c r="G83"/>
  <c r="G84" s="1"/>
  <c r="H52" i="1"/>
  <c r="G52"/>
  <c r="P76" i="2"/>
  <c r="R7"/>
  <c r="U7"/>
  <c r="E97" i="18"/>
  <c r="L99" i="19"/>
  <c r="L207" s="1"/>
  <c r="V38" i="10"/>
  <c r="D98" i="18"/>
  <c r="D210" s="1"/>
  <c r="K207" i="19"/>
  <c r="E67" i="1" l="1"/>
  <c r="G67" s="1"/>
  <c r="N5" i="12"/>
  <c r="F97" i="18"/>
  <c r="G97"/>
  <c r="R76" i="2"/>
  <c r="S78" s="1"/>
  <c r="S7"/>
  <c r="M78" i="12"/>
  <c r="M76"/>
  <c r="N76" s="1"/>
  <c r="P76" s="1"/>
  <c r="M21" i="8"/>
  <c r="O19"/>
  <c r="O8"/>
  <c r="M10"/>
  <c r="N5" i="13"/>
  <c r="C6" i="4"/>
  <c r="U76" i="2"/>
  <c r="N74" i="12"/>
  <c r="N78" s="1"/>
  <c r="P5"/>
  <c r="H67" i="1"/>
  <c r="G76"/>
  <c r="E68"/>
  <c r="M76" i="13"/>
  <c r="N76" s="1"/>
  <c r="P76" s="1"/>
  <c r="E98" i="18"/>
  <c r="E210" s="1"/>
  <c r="G96"/>
  <c r="G98" s="1"/>
  <c r="G210" s="1"/>
  <c r="F96"/>
  <c r="F98" s="1"/>
  <c r="F210" s="1"/>
  <c r="P74" i="12" l="1"/>
  <c r="P78" s="1"/>
  <c r="R5"/>
  <c r="AK5"/>
  <c r="AK74" s="1"/>
  <c r="N74" i="13"/>
  <c r="N78" s="1"/>
  <c r="P5"/>
  <c r="Q8" i="8"/>
  <c r="O10"/>
  <c r="M78" i="13"/>
  <c r="T76"/>
  <c r="AK76"/>
  <c r="H68" i="1"/>
  <c r="G68"/>
  <c r="C75" i="4"/>
  <c r="P77" s="1"/>
  <c r="P6"/>
  <c r="O21" i="8"/>
  <c r="Q19"/>
  <c r="T76" i="12"/>
  <c r="AK76"/>
  <c r="C6" i="3"/>
  <c r="S76" i="2"/>
  <c r="E91" i="1"/>
  <c r="AK78" i="12" l="1"/>
  <c r="H91" i="1"/>
  <c r="E97"/>
  <c r="G91"/>
  <c r="C75" i="3"/>
  <c r="P77" s="1"/>
  <c r="P6"/>
  <c r="P74" i="13"/>
  <c r="P78" s="1"/>
  <c r="R5"/>
  <c r="Q21" i="8"/>
  <c r="R19"/>
  <c r="R21" s="1"/>
  <c r="P75" i="4"/>
  <c r="AB77" s="1"/>
  <c r="AB6"/>
  <c r="AB75" s="1"/>
  <c r="Q10" i="8"/>
  <c r="R8"/>
  <c r="R10" s="1"/>
  <c r="R74" i="12"/>
  <c r="T5"/>
  <c r="T74" l="1"/>
  <c r="U5"/>
  <c r="R74" i="13"/>
  <c r="T5"/>
  <c r="AK5"/>
  <c r="AK74" s="1"/>
  <c r="AK78" s="1"/>
  <c r="P75" i="3"/>
  <c r="AB77" s="1"/>
  <c r="AB6"/>
  <c r="AB75" s="1"/>
  <c r="G97" i="1"/>
  <c r="D107"/>
  <c r="D108" s="1"/>
  <c r="T74" i="13" l="1"/>
  <c r="U5"/>
  <c r="U74" i="12"/>
  <c r="AL5"/>
  <c r="AL74" s="1"/>
  <c r="U74" i="13" l="1"/>
  <c r="AL5"/>
  <c r="AL74" s="1"/>
</calcChain>
</file>

<file path=xl/sharedStrings.xml><?xml version="1.0" encoding="utf-8"?>
<sst xmlns="http://schemas.openxmlformats.org/spreadsheetml/2006/main" count="3440" uniqueCount="1166">
  <si>
    <t xml:space="preserve">FY2011-12 MFP Budget Letter </t>
  </si>
  <si>
    <t>TABLE 1: STATE LEVEL COMPARISON (March 2012)</t>
  </si>
  <si>
    <r>
      <t xml:space="preserve">FY2010-11
Budget Letter
July 2010
</t>
    </r>
    <r>
      <rPr>
        <sz val="12"/>
        <color indexed="18"/>
        <rFont val="Arial Narrow"/>
        <family val="2"/>
      </rPr>
      <t>Circular No. 1134</t>
    </r>
  </si>
  <si>
    <t xml:space="preserve">FY2011-12
Budget Letter
March 2012
</t>
  </si>
  <si>
    <t>Comparison of  
FY2010-11
Budget Letter to
FY2011-12
Budget Letter</t>
  </si>
  <si>
    <t>% 
Change</t>
  </si>
  <si>
    <t>MFP Formula Items</t>
  </si>
  <si>
    <t>A.</t>
  </si>
  <si>
    <t>Level 1 Base Per Pupil Amount</t>
  </si>
  <si>
    <t>B.</t>
  </si>
  <si>
    <t>Total Weighted Membership of Parish/City Schools, Type 5 Charters, and Non-Legacy Type 2 Charters (Not 1st Year)</t>
  </si>
  <si>
    <t>1.</t>
  </si>
  <si>
    <t xml:space="preserve"> Base Membership:  February 1, 2010 / February 1, 2011</t>
  </si>
  <si>
    <t xml:space="preserve">     Parish/City Schools, Type 5 Charters and 
     Non-Legacy Type 2 Charters (Not 1st Year)</t>
  </si>
  <si>
    <t xml:space="preserve">     LSU and Southern Lab Schools</t>
  </si>
  <si>
    <t xml:space="preserve">     Office of Juvenile Justice</t>
  </si>
  <si>
    <t xml:space="preserve">     Legacy Type 2 Charter Schools</t>
  </si>
  <si>
    <t xml:space="preserve">     First Year Non-Legacy Type 2 Charters </t>
  </si>
  <si>
    <t xml:space="preserve">     LA School for Math, Science and the Arts (LSMSA)</t>
  </si>
  <si>
    <t xml:space="preserve">     New Orleans Center for Creative Arts (NOCCA)</t>
  </si>
  <si>
    <t>Total Students Funded through the MFP</t>
  </si>
  <si>
    <t>2.</t>
  </si>
  <si>
    <t>At-Risk Weight Factor (22%)</t>
  </si>
  <si>
    <t>3.</t>
  </si>
  <si>
    <t>Career &amp; Technical Weight Factor (6%)</t>
  </si>
  <si>
    <t>4.</t>
  </si>
  <si>
    <t>Exceptionalities Weight Factor (150%)</t>
  </si>
  <si>
    <t>5.</t>
  </si>
  <si>
    <t>Gifted/Talented Weight Factor (60%)</t>
  </si>
  <si>
    <t>6.</t>
  </si>
  <si>
    <t xml:space="preserve">Economy-of-Scale Weight Factor </t>
  </si>
  <si>
    <t>C.</t>
  </si>
  <si>
    <t>Total Level 1 State and Local Costs (A X B)</t>
  </si>
  <si>
    <t>State Share of Cost (65%)</t>
  </si>
  <si>
    <t>Local Share of Cost (35%)</t>
  </si>
  <si>
    <t>D.</t>
  </si>
  <si>
    <t>Total Local Revenues in MFP</t>
  </si>
  <si>
    <t>Total Net Assessed Property (capped at 10%)</t>
  </si>
  <si>
    <t>Total Est. Sales Tax Base (capped at 15%)</t>
  </si>
  <si>
    <t>Average Equivalent Millage Rate</t>
  </si>
  <si>
    <t>39.33/17.68</t>
  </si>
  <si>
    <t>40.50/17.76</t>
  </si>
  <si>
    <t>Average Equivalent Sales Tax Rate</t>
  </si>
  <si>
    <t>1.97/.89%</t>
  </si>
  <si>
    <t>1.98/.87%</t>
  </si>
  <si>
    <t>Property Tax Revenue</t>
  </si>
  <si>
    <t>Sales Tax Revenue</t>
  </si>
  <si>
    <t>7.</t>
  </si>
  <si>
    <t>Other Revenues Considered</t>
  </si>
  <si>
    <t>E.</t>
  </si>
  <si>
    <t>Level 2 Eligible Local Revenue</t>
  </si>
  <si>
    <t xml:space="preserve">Level 2 State Support </t>
  </si>
  <si>
    <t>F.</t>
  </si>
  <si>
    <t>Level 1 and 2 State Share (C1+E1)</t>
  </si>
  <si>
    <t>G.</t>
  </si>
  <si>
    <t>Level 3 Legislative Enhancements</t>
  </si>
  <si>
    <t>Prior Year Pay Raises (FY01-02 through FY08-09)</t>
  </si>
  <si>
    <t>Foreign Language Associates</t>
  </si>
  <si>
    <t>Mandated Cost Adjustment ($100)</t>
  </si>
  <si>
    <t>Hold Harmless (Total)</t>
  </si>
  <si>
    <t xml:space="preserve">     Prior Year Pay Raise/Insurance Supplements</t>
  </si>
  <si>
    <t xml:space="preserve">     Remaining Hold Harmless</t>
  </si>
  <si>
    <t xml:space="preserve">     Years 1 - 4/Years 1 - 5 Reduction of Remaining Hold Harmless</t>
  </si>
  <si>
    <t xml:space="preserve">     Redistribution of Hold Harmless Phase-out</t>
  </si>
  <si>
    <t>H.</t>
  </si>
  <si>
    <t xml:space="preserve">State Share Formula Allocation (City/Parish Local School Systems) </t>
  </si>
  <si>
    <t>Per Pupil based on February 1 Membership</t>
  </si>
  <si>
    <t>I.</t>
  </si>
  <si>
    <t xml:space="preserve">Other Local School System Funding </t>
  </si>
  <si>
    <t>R.S. 17:350.21 Lab School Funding</t>
  </si>
  <si>
    <t xml:space="preserve">LSU Lab. School </t>
  </si>
  <si>
    <r>
      <t>Southern Univ. Lab. School</t>
    </r>
    <r>
      <rPr>
        <sz val="12"/>
        <rFont val="Arial Narrow"/>
        <family val="2"/>
      </rPr>
      <t xml:space="preserve"> </t>
    </r>
  </si>
  <si>
    <t>J.</t>
  </si>
  <si>
    <t>Recovery School District Funding</t>
  </si>
  <si>
    <t>Orleans</t>
  </si>
  <si>
    <t>East Baton Rouge</t>
  </si>
  <si>
    <t>Pointe Coupee</t>
  </si>
  <si>
    <t>Caddo</t>
  </si>
  <si>
    <t>St. Helena</t>
  </si>
  <si>
    <t>K.</t>
  </si>
  <si>
    <t>Non-Legacy Type 2 Charters (Not 1st Year)</t>
  </si>
  <si>
    <t>L.</t>
  </si>
  <si>
    <t>First Year Non-Legacy Type 2 Charter Schools</t>
  </si>
  <si>
    <t>M.</t>
  </si>
  <si>
    <t>Office of Juvenile Justice</t>
  </si>
  <si>
    <t>N.</t>
  </si>
  <si>
    <t>Foreign Associate Teacher Stipends</t>
  </si>
  <si>
    <t>O.</t>
  </si>
  <si>
    <t xml:space="preserve">Legacy Type 2 Charter Schools </t>
  </si>
  <si>
    <t>P.</t>
  </si>
  <si>
    <t>LA School for Math, Science &amp; the Arts (LSMSA)</t>
  </si>
  <si>
    <t>Q.</t>
  </si>
  <si>
    <t>New Orleans Center for Creative Arts (NOCCA)(full-day students)</t>
  </si>
  <si>
    <t>R.</t>
  </si>
  <si>
    <t>Total MFP Allocation (H+I+J+K+L+M+N+O+P+Q)</t>
  </si>
  <si>
    <t>S.</t>
  </si>
  <si>
    <t>Adjustments</t>
  </si>
  <si>
    <t>Plus/(Minus) Prior Year Adjustments - City/Parish Schools</t>
  </si>
  <si>
    <t>Plus/(Minus) Prior Year Adjustments - LSU/SU Lab Schools</t>
  </si>
  <si>
    <t>Plus/(Minus) Prior Year Adjustments - RSD</t>
  </si>
  <si>
    <t>Plus/(Minus) Prior Year Adjustments - Non-Legacy Type 2 Charters</t>
  </si>
  <si>
    <t>Plus/(Minus) Prior Year Adjustments - Legacy Type 2 Charters</t>
  </si>
  <si>
    <t>October Mid-Year Student Adjustment - 69 School Districts</t>
  </si>
  <si>
    <t>6.a</t>
  </si>
  <si>
    <t>October Mid-Year Student Adjustment - RSD</t>
  </si>
  <si>
    <t>6.b</t>
  </si>
  <si>
    <t>October Mid-Year Student Adjustment - Type 2 in MFP</t>
  </si>
  <si>
    <t>6.c</t>
  </si>
  <si>
    <t>October Mid-Year Student Adjustment - Lab Schools</t>
  </si>
  <si>
    <t>6.d</t>
  </si>
  <si>
    <t>October Mid-Year Student Adjustment - OJJ</t>
  </si>
  <si>
    <t>6.e</t>
  </si>
  <si>
    <t>October Mid-Year Student Adjustment - Legacy Type 2 Charters</t>
  </si>
  <si>
    <t>6.f</t>
  </si>
  <si>
    <t>October Mid-Year Student Adjustment - LSMSA</t>
  </si>
  <si>
    <t>6.g</t>
  </si>
  <si>
    <t>October Mid-Year Student Adjustment - NOCCA</t>
  </si>
  <si>
    <t>6.h</t>
  </si>
  <si>
    <t>February Mid-Year Student Adjustment - 69 School Districts</t>
  </si>
  <si>
    <t>6.i</t>
  </si>
  <si>
    <t>February Mid-Year Student Adjustment - RSD</t>
  </si>
  <si>
    <t>6.j</t>
  </si>
  <si>
    <t>February Mid-Year Student Adjustment - Type 2 in MFP</t>
  </si>
  <si>
    <t>6.k</t>
  </si>
  <si>
    <t>February Mid-Year Student Adjustment - Lab Schools</t>
  </si>
  <si>
    <t>6.l</t>
  </si>
  <si>
    <t>February Mid-Year Student Adjustment - Legacy Type 2 Charters</t>
  </si>
  <si>
    <t>6.m</t>
  </si>
  <si>
    <t>February Mid-Year Student Adjustment - LSMSA</t>
  </si>
  <si>
    <t>6.n</t>
  </si>
  <si>
    <t>February Mid-Year Student Adjustment - NOCCA</t>
  </si>
  <si>
    <t>RSD Transfers</t>
  </si>
  <si>
    <t>8.</t>
  </si>
  <si>
    <t>Non-Legacy Type 2 Charter Transfers (Not 1st Year)</t>
  </si>
  <si>
    <t>T.</t>
  </si>
  <si>
    <t>MFP Allocation Including Adjustments (R + S)</t>
  </si>
  <si>
    <t>U.</t>
  </si>
  <si>
    <t>State MFP Appropriation</t>
  </si>
  <si>
    <t>BA-7 Number: 69512-#01, December 13, 2011</t>
  </si>
  <si>
    <t>BA-7 Number: 69511-#03, December 16, 2011 (Edujobs Funding)</t>
  </si>
  <si>
    <t xml:space="preserve">Edujobs Funds </t>
  </si>
  <si>
    <t>V.</t>
  </si>
  <si>
    <t>Estimated need in excess of MFP Appropriation</t>
  </si>
  <si>
    <t>*</t>
  </si>
  <si>
    <t>It is ok for the transfers to RSD, charters and others to be reflective of july numbers and not final numbers.</t>
  </si>
  <si>
    <t>Reconciliation:</t>
  </si>
  <si>
    <t>July 2012</t>
  </si>
  <si>
    <t>Oct. Midyear</t>
  </si>
  <si>
    <t>March 2012</t>
  </si>
  <si>
    <t>Feb Midyear</t>
  </si>
  <si>
    <t>Difference</t>
  </si>
  <si>
    <t>stipends</t>
  </si>
  <si>
    <t>Audit Adj for Treme &amp; Sojourner</t>
  </si>
  <si>
    <t>Final P/P for Legacy Type 2's</t>
  </si>
  <si>
    <t>rounding</t>
  </si>
  <si>
    <t>Prior Year Audit Adjustments</t>
  </si>
  <si>
    <t>Mid-Year Adjustment for Students</t>
  </si>
  <si>
    <t>LEA</t>
  </si>
  <si>
    <t>School
System</t>
  </si>
  <si>
    <t>FY2011-12
MFP State
Share of Levels
1, 2, and 3
with Continuation 
of Prior-Year
 Pay Raises</t>
  </si>
  <si>
    <t>FY09-10
Audit 
Adjustments</t>
  </si>
  <si>
    <t>FY10-11
Audit 
Adjustments</t>
  </si>
  <si>
    <r>
      <t xml:space="preserve">Total Audit 
Adjustments
</t>
    </r>
    <r>
      <rPr>
        <sz val="10"/>
        <color indexed="18"/>
        <rFont val="Arial"/>
        <family val="2"/>
      </rPr>
      <t>(Does not include adjustments for
RSD or Non-Legacy
Type 2 Charters)</t>
    </r>
  </si>
  <si>
    <t>Adjustments Due to Student, CAFR/AFR
 and PEP Audits</t>
  </si>
  <si>
    <r>
      <t xml:space="preserve">October 2011
Midyear
Adjustment
for 
Students
</t>
    </r>
    <r>
      <rPr>
        <sz val="10"/>
        <color indexed="18"/>
        <rFont val="Arial"/>
        <family val="2"/>
      </rPr>
      <t xml:space="preserve">(Includes  Recovery 
School District,
Type 5 Charters,
 Type 2 Charters
 (Not 1st Year)  </t>
    </r>
  </si>
  <si>
    <r>
      <t xml:space="preserve">February 2012
Midyear
Adjustment
for
Students
</t>
    </r>
    <r>
      <rPr>
        <sz val="10"/>
        <color indexed="18"/>
        <rFont val="Arial"/>
        <family val="2"/>
      </rPr>
      <t xml:space="preserve">(Includes  Recovery 
School District,
Type 5 Charters,
 Type 2 Charters
 (Not 1st Year) </t>
    </r>
    <r>
      <rPr>
        <b/>
        <sz val="10"/>
        <color indexed="18"/>
        <rFont val="Arial"/>
        <family val="2"/>
      </rPr>
      <t xml:space="preserve"> </t>
    </r>
  </si>
  <si>
    <r>
      <t xml:space="preserve">Total
Midyear
Adjustment
for
Students
</t>
    </r>
    <r>
      <rPr>
        <sz val="10"/>
        <color indexed="18"/>
        <rFont val="Arial"/>
        <family val="2"/>
      </rPr>
      <t>(Includes  Recovery 
School District,
Type 5 Charters,
 Type 2 Charters
 (Not 1st Year)</t>
    </r>
  </si>
  <si>
    <t>Minus
State Share
Adjustment
 for
Recovery 
School 
District</t>
  </si>
  <si>
    <r>
      <t xml:space="preserve">Minus
State Share
Adjustment
 for
Non-Legacy
Type 2
Charters*
</t>
    </r>
    <r>
      <rPr>
        <sz val="10"/>
        <color indexed="18"/>
        <rFont val="Arial"/>
        <family val="2"/>
      </rPr>
      <t>(Not 1st Year)</t>
    </r>
  </si>
  <si>
    <t>FY2011-12
Total MFP
Distribution 
with
Adjustments</t>
  </si>
  <si>
    <t>FY2011-12
EduJobs 
Funds</t>
  </si>
  <si>
    <r>
      <t xml:space="preserve">FY2011-12
Total State General Fund MFP
Distribution 
</t>
    </r>
    <r>
      <rPr>
        <b/>
        <sz val="10"/>
        <color rgb="FFFF0000"/>
        <rFont val="Arial"/>
        <family val="2"/>
      </rPr>
      <t>minus</t>
    </r>
    <r>
      <rPr>
        <b/>
        <sz val="10"/>
        <color indexed="18"/>
        <rFont val="Arial"/>
        <family val="2"/>
      </rPr>
      <t xml:space="preserve">
EduJobs 
Funds</t>
    </r>
  </si>
  <si>
    <t>Y-T-D
State
Payments
through
February 2012</t>
  </si>
  <si>
    <t>Balance 
To Be
Paid
March 2012
through
June 2012</t>
  </si>
  <si>
    <t>Monthly
Payments
March 2012
through
June 2012</t>
  </si>
  <si>
    <r>
      <t xml:space="preserve">Preliminary 
FY2011-12
Foreign 
Language 
Assoc. Teacher 
Stipends
</t>
    </r>
    <r>
      <rPr>
        <sz val="10"/>
        <color indexed="18"/>
        <rFont val="Arial"/>
        <family val="2"/>
      </rPr>
      <t>(Updated August 2011)</t>
    </r>
  </si>
  <si>
    <r>
      <t xml:space="preserve">FY2011-12
Total State 
General Fund 
MFP
Distribution 
</t>
    </r>
    <r>
      <rPr>
        <b/>
        <sz val="10"/>
        <color indexed="60"/>
        <rFont val="Arial"/>
        <family val="2"/>
      </rPr>
      <t xml:space="preserve">+/- </t>
    </r>
    <r>
      <rPr>
        <b/>
        <sz val="10"/>
        <color indexed="18"/>
        <rFont val="Arial"/>
        <family val="2"/>
      </rPr>
      <t xml:space="preserve">Adjustments
</t>
    </r>
    <r>
      <rPr>
        <b/>
        <sz val="10"/>
        <color indexed="60"/>
        <rFont val="Arial"/>
        <family val="2"/>
      </rPr>
      <t xml:space="preserve">+ </t>
    </r>
    <r>
      <rPr>
        <b/>
        <sz val="10"/>
        <color indexed="18"/>
        <rFont val="Arial"/>
        <family val="2"/>
      </rPr>
      <t xml:space="preserve">Stipends
</t>
    </r>
    <r>
      <rPr>
        <b/>
        <sz val="10"/>
        <color indexed="60"/>
        <rFont val="Arial"/>
        <family val="2"/>
      </rPr>
      <t xml:space="preserve">- </t>
    </r>
    <r>
      <rPr>
        <b/>
        <sz val="10"/>
        <color indexed="18"/>
        <rFont val="Arial"/>
        <family val="2"/>
      </rPr>
      <t>EduJobs 
Funds</t>
    </r>
  </si>
  <si>
    <t>Due 
District
(+)</t>
  </si>
  <si>
    <t>Due 
State
(-)</t>
  </si>
  <si>
    <t>Acadia</t>
  </si>
  <si>
    <t>Allen</t>
  </si>
  <si>
    <t>Ascension</t>
  </si>
  <si>
    <t>Assumption</t>
  </si>
  <si>
    <t>Avoyelles</t>
  </si>
  <si>
    <t>Beauregard</t>
  </si>
  <si>
    <t>Bienville</t>
  </si>
  <si>
    <t>Bossier</t>
  </si>
  <si>
    <t>Calcasieu</t>
  </si>
  <si>
    <t>Caldwell</t>
  </si>
  <si>
    <t>Cameron</t>
  </si>
  <si>
    <t>Catahoula</t>
  </si>
  <si>
    <t>Claiborne</t>
  </si>
  <si>
    <t>Concordia</t>
  </si>
  <si>
    <t>DeSoto</t>
  </si>
  <si>
    <t>East Carroll</t>
  </si>
  <si>
    <t>East Feliciana</t>
  </si>
  <si>
    <t>Evangeline</t>
  </si>
  <si>
    <t>Franklin</t>
  </si>
  <si>
    <t>Grant</t>
  </si>
  <si>
    <t>Iberia</t>
  </si>
  <si>
    <t>Iberville</t>
  </si>
  <si>
    <t>Jackson</t>
  </si>
  <si>
    <t>Jefferson</t>
  </si>
  <si>
    <t>Jefferson Davis</t>
  </si>
  <si>
    <t>Lafayette</t>
  </si>
  <si>
    <t>Lafourche</t>
  </si>
  <si>
    <t>LaSalle</t>
  </si>
  <si>
    <t>Lincoln</t>
  </si>
  <si>
    <t>Livingston</t>
  </si>
  <si>
    <t>Madison</t>
  </si>
  <si>
    <t>Morehouse</t>
  </si>
  <si>
    <t>Natchitoches</t>
  </si>
  <si>
    <t>Stipends for OPSB only (Type 2 stipends are added to Type 2 alloc)</t>
  </si>
  <si>
    <t>Ouachita</t>
  </si>
  <si>
    <t>Plaquemines</t>
  </si>
  <si>
    <t>Rapides</t>
  </si>
  <si>
    <t>Red River</t>
  </si>
  <si>
    <t>Richland</t>
  </si>
  <si>
    <t>Sabine</t>
  </si>
  <si>
    <t>St. Bernard</t>
  </si>
  <si>
    <t>St. Charles</t>
  </si>
  <si>
    <t>St. James</t>
  </si>
  <si>
    <t>St. John the Baptist</t>
  </si>
  <si>
    <t>St. Landry</t>
  </si>
  <si>
    <t>St. Martin</t>
  </si>
  <si>
    <t>St. Mary</t>
  </si>
  <si>
    <t>St. Tammany</t>
  </si>
  <si>
    <t>Tangipahoa</t>
  </si>
  <si>
    <t>Tensas</t>
  </si>
  <si>
    <t>Terrebonne</t>
  </si>
  <si>
    <t>Union</t>
  </si>
  <si>
    <t>Vermilion</t>
  </si>
  <si>
    <t>Vernon</t>
  </si>
  <si>
    <t>Washington</t>
  </si>
  <si>
    <t>Webster</t>
  </si>
  <si>
    <t>West Baton Rouge</t>
  </si>
  <si>
    <t>West Carroll</t>
  </si>
  <si>
    <t>West Feliciana</t>
  </si>
  <si>
    <t>Winn</t>
  </si>
  <si>
    <t>City of Monroe</t>
  </si>
  <si>
    <t>City of Bogalusa</t>
  </si>
  <si>
    <t>Zachary Community</t>
  </si>
  <si>
    <t>City of Baker</t>
  </si>
  <si>
    <t>Central Community</t>
  </si>
  <si>
    <t>STATE TOTALS</t>
  </si>
  <si>
    <t>* does not include First Year Non-Legacy Type 2 Charters</t>
  </si>
  <si>
    <t>City/Parish Only</t>
  </si>
  <si>
    <t>Linked before admin fees and audit adj are applied
and also before edujobs</t>
  </si>
  <si>
    <t>L
E
A</t>
  </si>
  <si>
    <r>
      <t xml:space="preserve">Monthly
Payments
Amount
March 2012
</t>
    </r>
    <r>
      <rPr>
        <sz val="10"/>
        <color indexed="18"/>
        <rFont val="Arial"/>
        <family val="2"/>
      </rPr>
      <t xml:space="preserve">
(Table 2, col. 17)</t>
    </r>
  </si>
  <si>
    <r>
      <t xml:space="preserve">Transfer
to pay
the local
share 
due to
RSD LA
</t>
    </r>
    <r>
      <rPr>
        <sz val="10"/>
        <color indexed="18"/>
        <rFont val="Arial"/>
        <family val="2"/>
      </rPr>
      <t>(Table 5B-2
column 38)</t>
    </r>
  </si>
  <si>
    <r>
      <t xml:space="preserve">Transfer
to pay the
 local share 
due to
RSD 
Orleans
</t>
    </r>
    <r>
      <rPr>
        <sz val="10"/>
        <color indexed="18"/>
        <rFont val="Arial"/>
        <family val="2"/>
      </rPr>
      <t>(RSD Orleans Allocation,
column 47)</t>
    </r>
  </si>
  <si>
    <r>
      <t xml:space="preserve">Transfer 
to pay the
 local share 
due to
Madison 
Prep
(CSAL)
</t>
    </r>
    <r>
      <rPr>
        <sz val="10"/>
        <color indexed="18"/>
        <rFont val="Arial"/>
        <family val="2"/>
      </rPr>
      <t>(Table 5C-1,
column 34)</t>
    </r>
  </si>
  <si>
    <r>
      <t xml:space="preserve">Transfer 
to pay
the local
share 
due to
D'Arbonne
Woods
</t>
    </r>
    <r>
      <rPr>
        <sz val="10"/>
        <color indexed="18"/>
        <rFont val="Arial"/>
        <family val="2"/>
      </rPr>
      <t>(Table 5C-1,
column 34)</t>
    </r>
  </si>
  <si>
    <r>
      <t xml:space="preserve">Transfer 
to pay
the local
share 
due to
Int'l H. S.
(VIBE)
</t>
    </r>
    <r>
      <rPr>
        <sz val="10"/>
        <color indexed="18"/>
        <rFont val="Arial"/>
        <family val="2"/>
      </rPr>
      <t>(Table 5C-1,
column 34)</t>
    </r>
  </si>
  <si>
    <r>
      <t xml:space="preserve">Transfer 
to pay
the local
share 
due to
N.O.
Military/
Maritime
</t>
    </r>
    <r>
      <rPr>
        <sz val="10"/>
        <color indexed="18"/>
        <rFont val="Arial"/>
        <family val="2"/>
      </rPr>
      <t>(Table 5C-1,
column 34)</t>
    </r>
  </si>
  <si>
    <r>
      <t xml:space="preserve">Transfer 
to pay
the local
share 
due to
Lycee Francois
</t>
    </r>
    <r>
      <rPr>
        <sz val="10"/>
        <color indexed="18"/>
        <rFont val="Arial"/>
        <family val="2"/>
      </rPr>
      <t>(Table 5C-1,
column 18)</t>
    </r>
  </si>
  <si>
    <r>
      <t xml:space="preserve">Transfer 
to pay
the local
share 
due to
Lycee
Francois
</t>
    </r>
    <r>
      <rPr>
        <sz val="10"/>
        <color indexed="18"/>
        <rFont val="Arial"/>
        <family val="2"/>
      </rPr>
      <t>(Table 5C-1,
column 36)</t>
    </r>
  </si>
  <si>
    <r>
      <t xml:space="preserve">Transfer 
to pay
the local
share 
due to
Lake Charles Academy
</t>
    </r>
    <r>
      <rPr>
        <sz val="10"/>
        <color indexed="18"/>
        <rFont val="Arial"/>
        <family val="2"/>
      </rPr>
      <t>(Table 5C-1,
column 34)</t>
    </r>
  </si>
  <si>
    <r>
      <t xml:space="preserve">Transfer 
to pay
the local
share 
due to
LAVCA
</t>
    </r>
    <r>
      <rPr>
        <sz val="10"/>
        <color indexed="18"/>
        <rFont val="Arial"/>
        <family val="2"/>
      </rPr>
      <t>(Table 5C-2,
column 34)</t>
    </r>
  </si>
  <si>
    <r>
      <t xml:space="preserve">Transfer 
to pay
the local
share 
due to
LA 
Connections
</t>
    </r>
    <r>
      <rPr>
        <sz val="10"/>
        <color indexed="18"/>
        <rFont val="Arial"/>
        <family val="2"/>
      </rPr>
      <t>(Table 5C-3,
column 34)</t>
    </r>
  </si>
  <si>
    <r>
      <t xml:space="preserve">Transfer
to pay 
the local 
share due monthly
 to the
Office of
Juvenile
Justice
</t>
    </r>
    <r>
      <rPr>
        <sz val="10"/>
        <color indexed="18"/>
        <rFont val="Arial"/>
        <family val="2"/>
      </rPr>
      <t>(Table 5D
column 16)</t>
    </r>
  </si>
  <si>
    <r>
      <t xml:space="preserve">Total MFP
Transfer
</t>
    </r>
    <r>
      <rPr>
        <sz val="10"/>
        <color indexed="18"/>
        <rFont val="Arial"/>
        <family val="2"/>
      </rPr>
      <t>Amount</t>
    </r>
    <r>
      <rPr>
        <b/>
        <sz val="10"/>
        <color indexed="18"/>
        <rFont val="Arial"/>
        <family val="2"/>
      </rPr>
      <t xml:space="preserve">
</t>
    </r>
    <r>
      <rPr>
        <b/>
        <sz val="10"/>
        <color indexed="16"/>
        <rFont val="Arial"/>
        <family val="2"/>
      </rPr>
      <t>minus</t>
    </r>
    <r>
      <rPr>
        <b/>
        <sz val="10"/>
        <color indexed="18"/>
        <rFont val="Arial"/>
        <family val="2"/>
      </rPr>
      <t xml:space="preserve">
Transfers 
to RSD
and 
Type 2 
Charters</t>
    </r>
  </si>
  <si>
    <t>March ONLY:
Local
Admin Fee
Payable 
to RSD
(1.75%)
RSD LA
(Table 5B-2,
column 30)</t>
  </si>
  <si>
    <t>March ONLY:
Local
Admin Fee
Payable 
to DOE
(.25%)
RSD LA
(Table 5B-2,
column 31)</t>
  </si>
  <si>
    <t>March ONLY:
Admin Fee
Payable 
to DOE
(.25%)
RSD Orleans
(RSD Orleans
Allocation,
column 40)</t>
  </si>
  <si>
    <t>March ONLY:
Local
Admin 
Fee
Payable 
to DOE
(.25%)
Madison 
Prep
(Table 5C-1,
column 28)</t>
  </si>
  <si>
    <t>March ONLY:
Local
Admin Fee
Payable 
to DOE
(.25%)
D'Arbonne
Woods
(Table 5C-1,
column 28)</t>
  </si>
  <si>
    <t>March ONLY:
Local
Admin 
Fee
Payable 
to DOE
(.25%)
Int'l H. S.
(Table 5C-1,
column 28)</t>
  </si>
  <si>
    <t>March ONLY:
Local
Admin 
Fee
Payable 
to DOE
(.25%)
N.O.
Military
(Table 5C-1,
column 28)</t>
  </si>
  <si>
    <t>March ONLY:
Local
Admin 
Fee
Payable 
to DOE
(.25%)
Lycee Francois
(Table 5C-1,
column 30)</t>
  </si>
  <si>
    <t>March ONLY:
Local
Admin 
Fee
Payable 
to DOE
(.25%)
Lake Charles
Academy
(Table 5C-1,
column 28)</t>
  </si>
  <si>
    <t>March ONLY:
Local
Admin 
Fee
Payable 
to DOE
(.25%
LAVCA
(Table 5C-2,
column 28)</t>
  </si>
  <si>
    <t>March ONLY:
Local
Admin 
Fee
Payable 
to DOE
(.25%)
LA Conn.
(Table 5C-3,
column 28)</t>
  </si>
  <si>
    <t>March  
ONLY
Transfer
Amount</t>
  </si>
  <si>
    <r>
      <t xml:space="preserve">Annual
Payment
Amount
March 2012
</t>
    </r>
    <r>
      <rPr>
        <sz val="10"/>
        <color indexed="18"/>
        <rFont val="Arial"/>
        <family val="2"/>
      </rPr>
      <t xml:space="preserve">
(Table 2, col. 19)</t>
    </r>
  </si>
  <si>
    <r>
      <t xml:space="preserve">Transfer
to pay
the local
share 
due to
RSD LA
</t>
    </r>
    <r>
      <rPr>
        <sz val="10"/>
        <color indexed="18"/>
        <rFont val="Arial"/>
        <family val="2"/>
      </rPr>
      <t xml:space="preserve">(Table 5B-2
col. 29 </t>
    </r>
    <r>
      <rPr>
        <sz val="10"/>
        <color rgb="FFFF0000"/>
        <rFont val="Arial"/>
        <family val="2"/>
      </rPr>
      <t>-</t>
    </r>
    <r>
      <rPr>
        <sz val="10"/>
        <color indexed="18"/>
        <rFont val="Arial"/>
        <family val="2"/>
      </rPr>
      <t xml:space="preserve"> col. 34)</t>
    </r>
  </si>
  <si>
    <r>
      <t xml:space="preserve">Transfer
to pay the
 local share 
due to
RSD 
Orleans
</t>
    </r>
    <r>
      <rPr>
        <sz val="10"/>
        <color indexed="18"/>
        <rFont val="Arial"/>
        <family val="2"/>
      </rPr>
      <t xml:space="preserve">(RSD Orleans Allocation,
col. 38 </t>
    </r>
    <r>
      <rPr>
        <sz val="10"/>
        <color rgb="FFFF0000"/>
        <rFont val="Arial"/>
        <family val="2"/>
      </rPr>
      <t xml:space="preserve">- </t>
    </r>
    <r>
      <rPr>
        <sz val="10"/>
        <color indexed="18"/>
        <rFont val="Arial"/>
        <family val="2"/>
      </rPr>
      <t>col. 43)</t>
    </r>
  </si>
  <si>
    <r>
      <t xml:space="preserve">Transfer 
to pay the
 local share 
due to
Madison 
Prep
(CSAL)
</t>
    </r>
    <r>
      <rPr>
        <sz val="10"/>
        <color indexed="18"/>
        <rFont val="Arial"/>
        <family val="2"/>
      </rPr>
      <t xml:space="preserve">(Table 5C-1,
col. 27 </t>
    </r>
    <r>
      <rPr>
        <sz val="10"/>
        <color rgb="FFFF0000"/>
        <rFont val="Arial"/>
        <family val="2"/>
      </rPr>
      <t xml:space="preserve">- </t>
    </r>
    <r>
      <rPr>
        <sz val="10"/>
        <color indexed="18"/>
        <rFont val="Arial"/>
        <family val="2"/>
      </rPr>
      <t>col 30)</t>
    </r>
  </si>
  <si>
    <r>
      <t xml:space="preserve">Transfer 
to pay
the local
share 
due to
D'Arbonne
Woods
</t>
    </r>
    <r>
      <rPr>
        <sz val="10"/>
        <color indexed="18"/>
        <rFont val="Arial"/>
        <family val="2"/>
      </rPr>
      <t xml:space="preserve">(Table 5C-1,
col. 27 </t>
    </r>
    <r>
      <rPr>
        <sz val="10"/>
        <color rgb="FFFF0000"/>
        <rFont val="Arial"/>
        <family val="2"/>
      </rPr>
      <t xml:space="preserve">- </t>
    </r>
    <r>
      <rPr>
        <sz val="10"/>
        <color indexed="18"/>
        <rFont val="Arial"/>
        <family val="2"/>
      </rPr>
      <t>col. 30)</t>
    </r>
  </si>
  <si>
    <r>
      <t xml:space="preserve">Transfer 
to pay
the local
share 
due to
Int'l H. S.
(VIBE)
</t>
    </r>
    <r>
      <rPr>
        <sz val="10"/>
        <color indexed="18"/>
        <rFont val="Arial"/>
        <family val="2"/>
      </rPr>
      <t xml:space="preserve">(Table 5C-1,
col. 27 </t>
    </r>
    <r>
      <rPr>
        <sz val="10"/>
        <color rgb="FFFF0000"/>
        <rFont val="Arial"/>
        <family val="2"/>
      </rPr>
      <t xml:space="preserve">- </t>
    </r>
    <r>
      <rPr>
        <sz val="10"/>
        <color indexed="18"/>
        <rFont val="Arial"/>
        <family val="2"/>
      </rPr>
      <t>col. 30)</t>
    </r>
  </si>
  <si>
    <r>
      <t xml:space="preserve">Transfer 
to pay
the local
share 
due to
N.O.
Military/
Maritime
</t>
    </r>
    <r>
      <rPr>
        <sz val="10"/>
        <color indexed="18"/>
        <rFont val="Arial"/>
        <family val="2"/>
      </rPr>
      <t xml:space="preserve">(Table 5C-1,
col. 27 </t>
    </r>
    <r>
      <rPr>
        <sz val="10"/>
        <color rgb="FFFF0000"/>
        <rFont val="Arial"/>
        <family val="2"/>
      </rPr>
      <t xml:space="preserve">- </t>
    </r>
    <r>
      <rPr>
        <sz val="10"/>
        <color indexed="18"/>
        <rFont val="Arial"/>
        <family val="2"/>
      </rPr>
      <t>col. 30)</t>
    </r>
  </si>
  <si>
    <r>
      <t xml:space="preserve">Transfer 
to pay
the local
share 
due to
Lycee
Francois
</t>
    </r>
    <r>
      <rPr>
        <sz val="10"/>
        <color indexed="18"/>
        <rFont val="Arial"/>
        <family val="2"/>
      </rPr>
      <t xml:space="preserve">(Table 5C-1,
col. 29 </t>
    </r>
    <r>
      <rPr>
        <sz val="10"/>
        <color rgb="FFFF0000"/>
        <rFont val="Arial"/>
        <family val="2"/>
      </rPr>
      <t xml:space="preserve">- </t>
    </r>
    <r>
      <rPr>
        <sz val="10"/>
        <color indexed="18"/>
        <rFont val="Arial"/>
        <family val="2"/>
      </rPr>
      <t>col. 32)</t>
    </r>
  </si>
  <si>
    <r>
      <t xml:space="preserve">Transfer 
to pay
the local
share 
due to
Lake Charles Academy
</t>
    </r>
    <r>
      <rPr>
        <sz val="10"/>
        <color indexed="18"/>
        <rFont val="Arial"/>
        <family val="2"/>
      </rPr>
      <t xml:space="preserve">(Table 5C-1,
col. 27 </t>
    </r>
    <r>
      <rPr>
        <sz val="10"/>
        <color rgb="FFFF0000"/>
        <rFont val="Arial"/>
        <family val="2"/>
      </rPr>
      <t xml:space="preserve">- </t>
    </r>
    <r>
      <rPr>
        <sz val="10"/>
        <color indexed="18"/>
        <rFont val="Arial"/>
        <family val="2"/>
      </rPr>
      <t>col. 30)</t>
    </r>
  </si>
  <si>
    <r>
      <t xml:space="preserve">Transfer 
to pay
the local
share 
due to
LAVCA
</t>
    </r>
    <r>
      <rPr>
        <sz val="10"/>
        <color indexed="18"/>
        <rFont val="Arial"/>
        <family val="2"/>
      </rPr>
      <t xml:space="preserve">(Table 5C-2,
col. 27 </t>
    </r>
    <r>
      <rPr>
        <sz val="10"/>
        <color rgb="FFFF0000"/>
        <rFont val="Arial"/>
        <family val="2"/>
      </rPr>
      <t xml:space="preserve">- </t>
    </r>
    <r>
      <rPr>
        <sz val="10"/>
        <color indexed="18"/>
        <rFont val="Arial"/>
        <family val="2"/>
      </rPr>
      <t>col. 30)</t>
    </r>
  </si>
  <si>
    <r>
      <t xml:space="preserve">Transfer 
to pay
the local
share 
due to
LA 
Connections
</t>
    </r>
    <r>
      <rPr>
        <sz val="10"/>
        <color indexed="18"/>
        <rFont val="Arial"/>
        <family val="2"/>
      </rPr>
      <t xml:space="preserve">(Table 5C-3,
col. 27 </t>
    </r>
    <r>
      <rPr>
        <sz val="10"/>
        <color rgb="FFFF0000"/>
        <rFont val="Arial"/>
        <family val="2"/>
      </rPr>
      <t xml:space="preserve">- </t>
    </r>
    <r>
      <rPr>
        <sz val="10"/>
        <color indexed="18"/>
        <rFont val="Arial"/>
        <family val="2"/>
      </rPr>
      <t>col. 30)</t>
    </r>
  </si>
  <si>
    <r>
      <t xml:space="preserve">Transfer
to pay 
the local 
share due monthly
 to the
Office of
Juvenile
Justice
</t>
    </r>
    <r>
      <rPr>
        <sz val="10"/>
        <color indexed="18"/>
        <rFont val="Arial"/>
        <family val="2"/>
      </rPr>
      <t>(Table 5D
column 13)</t>
    </r>
  </si>
  <si>
    <t xml:space="preserve">
Local
Admin Fee
Payable 
to RSD
(1.75%)
RSD LA
(Table 5B-2,
column 30)</t>
  </si>
  <si>
    <t xml:space="preserve">
Local
Admin Fee
Payable 
to DOE
(.25%)
RSD LA
(Table 5B-2,
column 31)</t>
  </si>
  <si>
    <t xml:space="preserve">
Admin Fee
Payable 
to DOE
(.25%)
RSD Orleans
(RSD Orleans
Allocation,
column 40)</t>
  </si>
  <si>
    <t xml:space="preserve">
Local
Admin 
Fee
Payable 
to DOE
(.25%)
Madison 
Prep
(Table 5C-1,
column 28)</t>
  </si>
  <si>
    <t xml:space="preserve">
Local
Admin Fee
Payable 
to DOE
(.25%)
D'Arbonne
Woods
(Table 5C-1,
column 28)</t>
  </si>
  <si>
    <t xml:space="preserve">
Local
Admin 
Fee
Payable 
to DOE
(.25%)
Int'l H. S.
(Table 5C-1,
column 28)</t>
  </si>
  <si>
    <t xml:space="preserve">
Local
Admin 
Fee
Payable 
to DOE
(.25%)
N.O.
Military
(Table 5C-1,
column 28)</t>
  </si>
  <si>
    <t xml:space="preserve">
Local
Admin 
Fee
Payable 
to DOE
(.25%)
Lycee Francois
(Table 5C-1,
column 30)</t>
  </si>
  <si>
    <t xml:space="preserve">
Local
Admin 
Fee
Payable 
to DOE
(.25%)
Lake Charles
Academy
(Table 5C-1,
column 28)</t>
  </si>
  <si>
    <t xml:space="preserve">
Local
Admin 
Fee
Payable 
to DOE
(.25%
LAVCA
(Table 5C-2,
column 28)</t>
  </si>
  <si>
    <t xml:space="preserve">
Local
Admin 
Fee
Payable 
to DOE
(.25%)
LA Conn.
(Table 5C-3,
column 28)</t>
  </si>
  <si>
    <r>
      <t xml:space="preserve">Total MFP
Transfer
</t>
    </r>
    <r>
      <rPr>
        <sz val="10"/>
        <color indexed="18"/>
        <rFont val="Arial"/>
        <family val="2"/>
      </rPr>
      <t>Amount</t>
    </r>
    <r>
      <rPr>
        <b/>
        <sz val="10"/>
        <color indexed="18"/>
        <rFont val="Arial"/>
        <family val="2"/>
      </rPr>
      <t xml:space="preserve">
</t>
    </r>
    <r>
      <rPr>
        <b/>
        <sz val="10"/>
        <color indexed="16"/>
        <rFont val="Arial"/>
        <family val="2"/>
      </rPr>
      <t>minus</t>
    </r>
    <r>
      <rPr>
        <b/>
        <sz val="10"/>
        <color indexed="18"/>
        <rFont val="Arial"/>
        <family val="2"/>
      </rPr>
      <t xml:space="preserve">
Local
Transfers and
Admin Fees
to RSD
and 
Type 2 
Charters
</t>
    </r>
  </si>
  <si>
    <t>Linked to Total local allocation plus/minus audit adjustments (do not subtract admin fees for annual calculation)(monthly calculation will be net of admin fees and then the admin fee is deducted in July and reconciled in March)</t>
  </si>
  <si>
    <t>Input from SIS</t>
  </si>
  <si>
    <t>Col.2a X 17%</t>
  </si>
  <si>
    <t>Input from ASR</t>
  </si>
  <si>
    <t>Col.31 X 5%</t>
  </si>
  <si>
    <t>Input from LANSER</t>
  </si>
  <si>
    <t>Col.4a X 150%</t>
  </si>
  <si>
    <t>Col.5a X  60%</t>
  </si>
  <si>
    <t>if col 1 is less than 7500, then 7500 less col 1, otherwise 0</t>
  </si>
  <si>
    <t>col 6a / 37,500 max of 20% (7,500/37,500)</t>
  </si>
  <si>
    <t>col. 6b x  col. 1</t>
  </si>
  <si>
    <t xml:space="preserve">cols. + 2+  3 + 4 + 5 + 6 </t>
  </si>
  <si>
    <t>col. 1 + col. 7</t>
  </si>
  <si>
    <t>set by resolution</t>
  </si>
  <si>
    <t>col. 8 x col. 9</t>
  </si>
  <si>
    <t>Without Continuation of Prior Year Pay Raises</t>
  </si>
  <si>
    <t>With Continuation of Prior Year Pay Raises</t>
  </si>
  <si>
    <t>For Information Only</t>
  </si>
  <si>
    <r>
      <t xml:space="preserve">Feb. 1, 2011
MFP
Funded
Membership
</t>
    </r>
    <r>
      <rPr>
        <sz val="10"/>
        <color indexed="18"/>
        <rFont val="Arial"/>
        <family val="2"/>
      </rPr>
      <t xml:space="preserve">(Per SIS)
(Includes 
Type 5 and Non-Legacy Type 2*
 Charters) </t>
    </r>
  </si>
  <si>
    <r>
      <t xml:space="preserve">
AT-RISK 
STUDENTS* 
</t>
    </r>
    <r>
      <rPr>
        <sz val="10"/>
        <color indexed="18"/>
        <rFont val="Arial"/>
        <family val="2"/>
      </rPr>
      <t>(Per SIS 
2-1-11)</t>
    </r>
  </si>
  <si>
    <t>Weighted
Add-on 
Students
At Risk 
(with LEP)</t>
  </si>
  <si>
    <r>
      <t xml:space="preserve">
CAREER &amp; 
TECHNICAL
 ED UNITS*
</t>
    </r>
    <r>
      <rPr>
        <sz val="10"/>
        <color indexed="18"/>
        <rFont val="Arial"/>
        <family val="2"/>
      </rPr>
      <t>(Per LEADS 
10-1-10)</t>
    </r>
  </si>
  <si>
    <t>Weighted
 Add-On 
Units
Career &amp; Technical</t>
  </si>
  <si>
    <r>
      <t xml:space="preserve">
SPECIAL ED 
OTHER 
EXCEPTIONALITIES 
STUDENTS*
</t>
    </r>
    <r>
      <rPr>
        <sz val="10"/>
        <color indexed="18"/>
        <rFont val="Arial"/>
        <family val="2"/>
      </rPr>
      <t>(Per SER 2-1-11)</t>
    </r>
  </si>
  <si>
    <t xml:space="preserve">Weighted
Add-On
Students 
Other Exceptionalities </t>
  </si>
  <si>
    <r>
      <t xml:space="preserve">
SPECIAL ED 
GIFTED AND 
TALENTED 
STUDENTS*
</t>
    </r>
    <r>
      <rPr>
        <sz val="10"/>
        <color indexed="18"/>
        <rFont val="Arial"/>
        <family val="2"/>
      </rPr>
      <t>(Per SER 2-1-11)</t>
    </r>
  </si>
  <si>
    <t xml:space="preserve">Weighted
Add-On 
Students
Gifted/Talented </t>
  </si>
  <si>
    <t>ECONOMY-OF-SCALE:
If &lt; 7500, then 
7500 less 
February
Membership</t>
  </si>
  <si>
    <t>ECONOMY-
OF-SCALE 
PERCENT 
SUPPORT</t>
  </si>
  <si>
    <t xml:space="preserve">Economy-of-Scale 
Weighted 
Add-On Units </t>
  </si>
  <si>
    <t xml:space="preserve">Total Weighted 
Add-On 
Students
and/or Units </t>
  </si>
  <si>
    <t xml:space="preserve">Total 
Weighted
Membership
and/or Units </t>
  </si>
  <si>
    <t>Per Pupil 
Amount</t>
  </si>
  <si>
    <t xml:space="preserve">TOTAL
LEVEL 1
COSTS </t>
  </si>
  <si>
    <t>Local Share of 
Level 1
(DEDUCTION for Property &amp; Sales and Other Revenues)</t>
  </si>
  <si>
    <t>Local Share
of Level 1
with 75% max Local Share
(DEDUCTION for Property &amp; Sales and Other Revenues)</t>
  </si>
  <si>
    <t xml:space="preserve">
STATE SHARE 
OF LEVEL 1</t>
  </si>
  <si>
    <t>State 
Share
 %</t>
  </si>
  <si>
    <t>Local 
Share
 %</t>
  </si>
  <si>
    <t>Per Pupil 
Local Share
 of Level 1</t>
  </si>
  <si>
    <t xml:space="preserve">Actual 
Sales and Property
Tax Revenues
(Including Debt) 
Plus Other Revenue </t>
  </si>
  <si>
    <t xml:space="preserve">Local Revenue
Over
Level 1 </t>
  </si>
  <si>
    <t xml:space="preserve">Local Revenue 
Under Level 1 </t>
  </si>
  <si>
    <t xml:space="preserve">Local Revenue
 Limit on 
Level 2 State Support </t>
  </si>
  <si>
    <t>ELIGIBLE
 LOCAL REVENUE
 LEVEL 2</t>
  </si>
  <si>
    <t>LOCAL SHARE 
of Level 2</t>
  </si>
  <si>
    <t xml:space="preserve">
STATE SHARE
OF LEVEL 2 </t>
  </si>
  <si>
    <t xml:space="preserve">Percent 
State </t>
  </si>
  <si>
    <t xml:space="preserve">
Levels 1 &amp; 2
STATE SHARE
 OF COST</t>
  </si>
  <si>
    <t>Per Pupil
Amount</t>
  </si>
  <si>
    <r>
      <t xml:space="preserve">
Level 3 State 
Funding 
</t>
    </r>
    <r>
      <rPr>
        <b/>
        <sz val="10"/>
        <color indexed="10"/>
        <rFont val="Arial"/>
        <family val="2"/>
      </rPr>
      <t xml:space="preserve">without
</t>
    </r>
    <r>
      <rPr>
        <b/>
        <sz val="10"/>
        <color indexed="18"/>
        <rFont val="Arial"/>
        <family val="2"/>
      </rPr>
      <t>Continuation 
of Prior Year
Pay Raises</t>
    </r>
  </si>
  <si>
    <r>
      <t xml:space="preserve">
Levels 1, 2 &amp; 3
STATE SHARE
OF COST
</t>
    </r>
    <r>
      <rPr>
        <b/>
        <sz val="10"/>
        <color indexed="10"/>
        <rFont val="Arial"/>
        <family val="2"/>
      </rPr>
      <t xml:space="preserve">without </t>
    </r>
    <r>
      <rPr>
        <b/>
        <sz val="10"/>
        <color indexed="18"/>
        <rFont val="Arial"/>
        <family val="2"/>
      </rPr>
      <t>Continuation of Prior Year
Pay Raises</t>
    </r>
  </si>
  <si>
    <r>
      <t xml:space="preserve">
Level 3 
State 
Funding
</t>
    </r>
    <r>
      <rPr>
        <b/>
        <sz val="10"/>
        <color indexed="10"/>
        <rFont val="Arial"/>
        <family val="2"/>
      </rPr>
      <t xml:space="preserve">with 
Continuation of
 Prior Year
Pay Raises </t>
    </r>
  </si>
  <si>
    <r>
      <t xml:space="preserve">
Levels 1, 2 &amp; 3
STATE SHARE
OF COST
</t>
    </r>
    <r>
      <rPr>
        <b/>
        <sz val="10"/>
        <color indexed="10"/>
        <rFont val="Arial"/>
        <family val="2"/>
      </rPr>
      <t>with 
Continuation of 
Prior Year
Pay Raises</t>
    </r>
  </si>
  <si>
    <t>State Funds 
(with Continuation of Prior Year Pay Raises)
as Percent 
of Total State
and Local</t>
  </si>
  <si>
    <t>Rank</t>
  </si>
  <si>
    <r>
      <t xml:space="preserve">
Levels 1</t>
    </r>
    <r>
      <rPr>
        <b/>
        <i/>
        <sz val="10"/>
        <color indexed="18"/>
        <rFont val="Arial Narrow"/>
        <family val="2"/>
      </rPr>
      <t xml:space="preserve"> and 2
LOCAL </t>
    </r>
    <r>
      <rPr>
        <b/>
        <sz val="10"/>
        <color indexed="18"/>
        <rFont val="Arial Narrow"/>
        <family val="2"/>
      </rPr>
      <t>SHARE 
OF COST</t>
    </r>
  </si>
  <si>
    <t xml:space="preserve">Rank
</t>
  </si>
  <si>
    <t>Local Revenue as Percent of Total State and Local</t>
  </si>
  <si>
    <r>
      <t xml:space="preserve">
</t>
    </r>
    <r>
      <rPr>
        <b/>
        <sz val="10"/>
        <color indexed="10"/>
        <rFont val="Arial Narrow"/>
        <family val="2"/>
      </rPr>
      <t xml:space="preserve">TOTAL STATE </t>
    </r>
    <r>
      <rPr>
        <b/>
        <sz val="10"/>
        <color indexed="18"/>
        <rFont val="Arial Narrow"/>
        <family val="2"/>
      </rPr>
      <t xml:space="preserve">
(with Continuation
of Pay Raises)
 AND
</t>
    </r>
    <r>
      <rPr>
        <b/>
        <sz val="10"/>
        <color indexed="10"/>
        <rFont val="Arial Narrow"/>
        <family val="2"/>
      </rPr>
      <t>LOCAL</t>
    </r>
    <r>
      <rPr>
        <b/>
        <sz val="10"/>
        <color indexed="18"/>
        <rFont val="Arial Narrow"/>
        <family val="2"/>
      </rPr>
      <t xml:space="preserve"> COST OF  
Levels 1 and 2</t>
    </r>
  </si>
  <si>
    <r>
      <t>FY2010-11
STATE 
SHARE OF 
COST LEVELS
1, 2, &amp; 3
(July 2010)</t>
    </r>
    <r>
      <rPr>
        <b/>
        <sz val="8"/>
        <color indexed="10"/>
        <rFont val="Arial"/>
        <family val="2"/>
      </rPr>
      <t xml:space="preserve">
(includes 
Continuation of
 Prior Year Pay Raises)</t>
    </r>
  </si>
  <si>
    <t>Difference between 
FY2010-11
and 
FY2011-12
Simulation
STATE 
SHARE OF 
COST LEVELS
1, 2, &amp; 3</t>
  </si>
  <si>
    <t>(2a)</t>
  </si>
  <si>
    <t>(3a)</t>
  </si>
  <si>
    <t>(4a)</t>
  </si>
  <si>
    <t>(5a)</t>
  </si>
  <si>
    <t>(6a)</t>
  </si>
  <si>
    <t>(6b)</t>
  </si>
  <si>
    <t>11a</t>
  </si>
  <si>
    <t>Hide</t>
  </si>
  <si>
    <t>STATE TOTAL</t>
  </si>
  <si>
    <t>(actual revenues using rates)</t>
  </si>
  <si>
    <t>local deduct percentage calculation</t>
  </si>
  <si>
    <t>* Includes Non-Legacy Type 2 Charters (Not Year 1)</t>
  </si>
  <si>
    <t>deduct $0</t>
  </si>
  <si>
    <t xml:space="preserve">for TIF in </t>
  </si>
  <si>
    <t>and $616,364 for</t>
  </si>
  <si>
    <t>TIF in Livingston</t>
  </si>
  <si>
    <t>MFP Simulation Summary (6-11-07)</t>
  </si>
  <si>
    <t>Per HCR 235</t>
  </si>
  <si>
    <t>col.13 x Tbl 3, col.1 (Oct 1 membership)</t>
  </si>
  <si>
    <t>If col 14 &gt;col. 15 then col. 15, otherwise col. 14</t>
  </si>
  <si>
    <t>Hold Harmless</t>
  </si>
  <si>
    <t>Foreign Language 
Associates</t>
  </si>
  <si>
    <t>Mandated Cost 
Adjustment</t>
  </si>
  <si>
    <r>
      <t>Total
Level 3
Unequalized 
Funding</t>
    </r>
    <r>
      <rPr>
        <b/>
        <sz val="10"/>
        <color indexed="18"/>
        <rFont val="Arial"/>
        <family val="2"/>
      </rPr>
      <t xml:space="preserve">
(Without Continuation
of 
Prior Year
Pay Raises)</t>
    </r>
  </si>
  <si>
    <r>
      <t xml:space="preserve">Continuation of Prior Year Pay Raises
</t>
    </r>
    <r>
      <rPr>
        <b/>
        <sz val="10"/>
        <color indexed="18"/>
        <rFont val="Arial"/>
        <family val="2"/>
      </rPr>
      <t>(2001-02 Certificated, 2002-03 Support Worker, 
2006-07 Certificated and Support Worker,
2007-08 Certificated and Support Worker, and
FY2008-09 Certificated)</t>
    </r>
  </si>
  <si>
    <t>Total
Level 3
Unequalized 
Funding 
with
Continuation
of Prior Year
Pay Raises</t>
  </si>
  <si>
    <t>FY2006/07
Hold 
Harmless 
Amount</t>
  </si>
  <si>
    <t>Pay Raise
&amp; Insurance
Supplement
Amounts
from Prior
Years</t>
  </si>
  <si>
    <t>Remaining
Hold 
Harmless
(FY2007/08)</t>
  </si>
  <si>
    <t>Prior Year
Reduction
of Remaining
Hold Harmless
(FY07/08 thru 
FY10/11)</t>
  </si>
  <si>
    <t>Remaining
Hold 
Harmless
(FY2011/12)</t>
  </si>
  <si>
    <t>One-Tenth (FY11/12)
Reduction of 
Remaining
 Hold Harmless</t>
  </si>
  <si>
    <r>
      <t xml:space="preserve">
Feb. 1, 2011
Member-
ship 
(pe</t>
    </r>
    <r>
      <rPr>
        <sz val="10"/>
        <color indexed="18"/>
        <rFont val="Arial"/>
        <family val="2"/>
      </rPr>
      <t>r</t>
    </r>
    <r>
      <rPr>
        <b/>
        <sz val="10"/>
        <color indexed="18"/>
        <rFont val="Arial"/>
        <family val="2"/>
      </rPr>
      <t xml:space="preserve"> SIS)</t>
    </r>
  </si>
  <si>
    <t>Redistribution
of Hold Harmless 
Phase-out
(FY2007/08 - FY2011/12)</t>
  </si>
  <si>
    <t>Number of Foreign Associate Teachers
Feb. 1, 2011</t>
  </si>
  <si>
    <t>Level 3 State Funding for Foreign Associate Teachers</t>
  </si>
  <si>
    <t xml:space="preserve">Feb. 1, 2011
Student Membership </t>
  </si>
  <si>
    <t xml:space="preserve">Increase 
Cost 
Adjustment </t>
  </si>
  <si>
    <r>
      <t>Adjusted</t>
    </r>
    <r>
      <rPr>
        <b/>
        <sz val="10"/>
        <color indexed="18"/>
        <rFont val="Arial"/>
        <family val="2"/>
      </rPr>
      <t xml:space="preserve"> 
Pay Raise
Continuation
Per Pupil 
Amount
from 
Prior Years</t>
    </r>
  </si>
  <si>
    <r>
      <t xml:space="preserve">Continuation 
of
 Prior Year 
Pay Raises *
</t>
    </r>
    <r>
      <rPr>
        <sz val="10"/>
        <color indexed="18"/>
        <rFont val="Arial"/>
        <family val="2"/>
      </rPr>
      <t>(Includes Type 5 
and Non-Legacy
Type 2 Charters, Not 1st Year)</t>
    </r>
  </si>
  <si>
    <t xml:space="preserve"> </t>
  </si>
  <si>
    <t xml:space="preserve">  </t>
  </si>
  <si>
    <t xml:space="preserve">     * See Recovery School District Allocation and Type 2 Allocations</t>
  </si>
  <si>
    <t xml:space="preserve">       Includes Non-Legacy Type 2 Charters (Not Year 1)</t>
  </si>
  <si>
    <t>St. Charles L1,L2 &amp; L3 total state allocation 07/08 prior to this reduction</t>
  </si>
  <si>
    <t>Formula in column 15 is linked to Table 3 and therefore includes Type 2 Not 1st year and Type 5.</t>
  </si>
  <si>
    <t>St. Charles 06/07 L1, L2 &amp; L3 total state allocation</t>
  </si>
  <si>
    <t xml:space="preserve">In column 15,also add Type 2 charter (not first year) pay raise allocations (and Type 5's) to districts with schools in the RSD that are not linked to Table 3.   </t>
  </si>
  <si>
    <t>growth dollars from 06/07 to 07/08</t>
  </si>
  <si>
    <t>(If district has only Type 2 it automatically calculates since no new raises separate for new type 2's)</t>
  </si>
  <si>
    <t>Does not include 1st year non-legacy Type 2 charters as they are not included in Table 3</t>
  </si>
  <si>
    <t>St. Charles requested their growth dollars be used to reduce</t>
  </si>
  <si>
    <t>(1st year non-legacy Type 2 charters link to Table 1 includes pay raise dollars and is not backed out like 1st year and Type 5's)</t>
  </si>
  <si>
    <t>their Hold Harmless Amount in 07/08.</t>
  </si>
  <si>
    <t>Number of 
First Year
Foreign Associate
Teachers in
FY2011-12</t>
  </si>
  <si>
    <t>Stipend for First Year Foreign Associate Teachers</t>
  </si>
  <si>
    <t>Number of 
Second and 
Third Year
Foreign Associate
Teachers in
FY2011-12</t>
  </si>
  <si>
    <t>Stipend for Second and Third Year Foreign Associate Teachers</t>
  </si>
  <si>
    <t>Total 
Stipends
for Foreign
Associate
Teachers</t>
  </si>
  <si>
    <t>City/Parish Totals</t>
  </si>
  <si>
    <t>International School of LA</t>
  </si>
  <si>
    <t>Lycee Francais de la N.O.</t>
  </si>
  <si>
    <t>Type 2 Charter Totals</t>
  </si>
  <si>
    <t>GRAND TOTAL STATE</t>
  </si>
  <si>
    <t>Table 5A: FY2011-12 MFP Budget Letter (March 2012)</t>
  </si>
  <si>
    <t>SIS</t>
  </si>
  <si>
    <t>Table 3, total of col.33</t>
  </si>
  <si>
    <t xml:space="preserve">     Table 5A-1:  Allocation for Lab Schools</t>
  </si>
  <si>
    <t>School</t>
  </si>
  <si>
    <r>
      <t xml:space="preserve">Feb. 1, 2011
MFP
Funded Membership
</t>
    </r>
    <r>
      <rPr>
        <sz val="10"/>
        <color indexed="18"/>
        <rFont val="Arial"/>
        <family val="2"/>
      </rPr>
      <t>(Per SIS)</t>
    </r>
  </si>
  <si>
    <t>MFP 
State Average
 Per Pupil (L1,L2+L3)</t>
  </si>
  <si>
    <t>MFP  
Allocation</t>
  </si>
  <si>
    <t>Continuation
of Prior Year 
Pay Raises
(FY2001-02 
through
FY2008-09)
Per Pupil
Amount</t>
  </si>
  <si>
    <t>Continuation of
Prior Year
Pay Raises</t>
  </si>
  <si>
    <t>Total MFP
Allocation Plus 
Continuation of 
Prior Year
Pay 
Raises</t>
  </si>
  <si>
    <t>Audit 
Adjust-
ments 
FY2010-11
 Budget
 Letter</t>
  </si>
  <si>
    <t>Total
FY2011-12 Allocation 
Plus Continuation of Pay Raises 
Minus Audit Adjustments</t>
  </si>
  <si>
    <t>October 2011
Midyear
Adjustment
for
Students</t>
  </si>
  <si>
    <t>February 2012
Midyear
Adjustment
for
Students</t>
  </si>
  <si>
    <t>Total
Mid-Year
Adjustment
for
Students</t>
  </si>
  <si>
    <t>Total
FY2011-12
Allocation 
+ Continuation of Pay Raises 
+/- Audit Adjustments
+/- Midyear
 Adjustments 
for Students</t>
  </si>
  <si>
    <t>FY2011-12
EduJobs
Funds</t>
  </si>
  <si>
    <r>
      <t xml:space="preserve">Total
FY2011-12 Allocation 
Plus Continuation of Pay Raises 
</t>
    </r>
    <r>
      <rPr>
        <b/>
        <sz val="10"/>
        <color rgb="FFFF0000"/>
        <rFont val="Arial"/>
        <family val="2"/>
      </rPr>
      <t xml:space="preserve">- </t>
    </r>
    <r>
      <rPr>
        <b/>
        <sz val="10"/>
        <color indexed="18"/>
        <rFont val="Arial"/>
        <family val="2"/>
      </rPr>
      <t xml:space="preserve">Audit Adjustments
</t>
    </r>
    <r>
      <rPr>
        <b/>
        <sz val="10"/>
        <color rgb="FFFF0000"/>
        <rFont val="Arial"/>
        <family val="2"/>
      </rPr>
      <t xml:space="preserve">- </t>
    </r>
    <r>
      <rPr>
        <b/>
        <sz val="10"/>
        <color indexed="18"/>
        <rFont val="Arial"/>
        <family val="2"/>
      </rPr>
      <t>EduJobs Funds</t>
    </r>
  </si>
  <si>
    <t>YTD
State
Payments
through
February 2012</t>
  </si>
  <si>
    <t>Balance 
Due
March 2012
through
June 2012</t>
  </si>
  <si>
    <t>Monthly Payment Amount</t>
  </si>
  <si>
    <t>(Table 3, 
col. 29)</t>
  </si>
  <si>
    <r>
      <t>LSU</t>
    </r>
    <r>
      <rPr>
        <sz val="10"/>
        <rFont val="Arial"/>
        <family val="2"/>
      </rPr>
      <t xml:space="preserve">
Lab. School</t>
    </r>
  </si>
  <si>
    <r>
      <t>Southern Univ.</t>
    </r>
    <r>
      <rPr>
        <sz val="10"/>
        <rFont val="Arial"/>
        <family val="2"/>
      </rPr>
      <t xml:space="preserve">
Lab. School</t>
    </r>
  </si>
  <si>
    <t xml:space="preserve">TOTAL </t>
  </si>
  <si>
    <t xml:space="preserve">     Table 5A-2:  Allocation for NOCCA and LSMSA </t>
  </si>
  <si>
    <r>
      <rPr>
        <b/>
        <sz val="10"/>
        <color rgb="FFFF0000"/>
        <rFont val="Arial"/>
        <family val="2"/>
      </rPr>
      <t>Projected</t>
    </r>
    <r>
      <rPr>
        <b/>
        <sz val="10"/>
        <color indexed="18"/>
        <rFont val="Arial"/>
        <family val="2"/>
      </rPr>
      <t xml:space="preserve">
MFP
Funded Membership
</t>
    </r>
    <r>
      <rPr>
        <sz val="10"/>
        <color indexed="18"/>
        <rFont val="Arial"/>
        <family val="2"/>
      </rPr>
      <t>(Per SIS)</t>
    </r>
  </si>
  <si>
    <r>
      <t xml:space="preserve">MFP 
State Average
 Per Pupil (L1,L2+L3)
</t>
    </r>
    <r>
      <rPr>
        <sz val="10"/>
        <color indexed="18"/>
        <rFont val="Arial"/>
        <family val="2"/>
      </rPr>
      <t>(Table 3
col. 29)</t>
    </r>
  </si>
  <si>
    <t>MFP 
Base
Allocation</t>
  </si>
  <si>
    <r>
      <t xml:space="preserve">Total
FY2011-12 Allocation 
Plus Continuation of Pay Raises 
Minus Audit Adjustments
</t>
    </r>
    <r>
      <rPr>
        <b/>
        <sz val="10"/>
        <color rgb="FFFF0000"/>
        <rFont val="Arial"/>
        <family val="2"/>
      </rPr>
      <t>-</t>
    </r>
    <r>
      <rPr>
        <b/>
        <sz val="10"/>
        <color rgb="FF000099"/>
        <rFont val="Arial"/>
        <family val="2"/>
      </rPr>
      <t>Change in MFP Count</t>
    </r>
    <r>
      <rPr>
        <b/>
        <sz val="10"/>
        <color rgb="FFFF0000"/>
        <rFont val="Arial"/>
        <family val="2"/>
      </rPr>
      <t xml:space="preserve">
-</t>
    </r>
    <r>
      <rPr>
        <b/>
        <sz val="10"/>
        <color rgb="FF000099"/>
        <rFont val="Arial"/>
        <family val="2"/>
      </rPr>
      <t>EduJobs Funds</t>
    </r>
  </si>
  <si>
    <t>= Col. 1 *
Col. 3</t>
  </si>
  <si>
    <t>= Col. 1 *
Col. 5</t>
  </si>
  <si>
    <t>= Col. 4 + 
Col. 6</t>
  </si>
  <si>
    <t>= Col. 14 +
Col. 15</t>
  </si>
  <si>
    <r>
      <t xml:space="preserve">LSMSA
</t>
    </r>
    <r>
      <rPr>
        <sz val="10"/>
        <rFont val="Arial"/>
        <family val="2"/>
      </rPr>
      <t>Louisiana Schools for Math, Science and the Arts</t>
    </r>
  </si>
  <si>
    <r>
      <t xml:space="preserve">NOCCA
</t>
    </r>
    <r>
      <rPr>
        <sz val="10"/>
        <rFont val="Arial"/>
        <family val="2"/>
      </rPr>
      <t>New Orleans Center for Creative Arts</t>
    </r>
  </si>
  <si>
    <t>Continuation of Prior Year 
Pay Raises</t>
  </si>
  <si>
    <t>Site
Code</t>
  </si>
  <si>
    <r>
      <t xml:space="preserve">Feb. 1, 
2011
MFP 
Funded
Member-
ship
</t>
    </r>
    <r>
      <rPr>
        <b/>
        <sz val="8"/>
        <color indexed="18"/>
        <rFont val="Arial"/>
        <family val="2"/>
      </rPr>
      <t>(Per SIS)*</t>
    </r>
  </si>
  <si>
    <t>State Share
Per Pupil
(Levels 
1, 2  &amp; 3)
for
Orleans 
Parish</t>
  </si>
  <si>
    <t>MFP
Allocation</t>
  </si>
  <si>
    <t xml:space="preserve">
Continuation
of
Prior Year 
Pay Raises
(FY2001-02 
through
FY2008-09)
Per Pupil
Amount</t>
  </si>
  <si>
    <t>Continuation 
of 
Prior Year
Pay 
Raises</t>
  </si>
  <si>
    <r>
      <t xml:space="preserve">Total 
FY2011-12
MFP 
Allocation 
</t>
    </r>
    <r>
      <rPr>
        <b/>
        <sz val="10"/>
        <color indexed="60"/>
        <rFont val="Arial"/>
        <family val="2"/>
      </rPr>
      <t>plus</t>
    </r>
    <r>
      <rPr>
        <b/>
        <sz val="10"/>
        <color indexed="18"/>
        <rFont val="Arial"/>
        <family val="2"/>
      </rPr>
      <t xml:space="preserve">
Continuation 
of Prior
Year
Pay 
Raises</t>
    </r>
  </si>
  <si>
    <t>October 2011 
Mid-Year
Adjustment
for
Students</t>
  </si>
  <si>
    <t>February 2012
Mid-Year
Adjustment
for
Students</t>
  </si>
  <si>
    <r>
      <t xml:space="preserve">Total 
FY2011-12
MFP 
Allocation 
</t>
    </r>
    <r>
      <rPr>
        <b/>
        <sz val="10"/>
        <color indexed="60"/>
        <rFont val="Arial"/>
        <family val="2"/>
      </rPr>
      <t xml:space="preserve">+ </t>
    </r>
    <r>
      <rPr>
        <b/>
        <sz val="10"/>
        <color indexed="18"/>
        <rFont val="Arial"/>
        <family val="2"/>
      </rPr>
      <t xml:space="preserve">Contin. of
Prior Year
Pay Raises
</t>
    </r>
    <r>
      <rPr>
        <b/>
        <sz val="10"/>
        <color indexed="60"/>
        <rFont val="Arial"/>
        <family val="2"/>
      </rPr>
      <t xml:space="preserve">+/- </t>
    </r>
    <r>
      <rPr>
        <b/>
        <sz val="10"/>
        <color indexed="18"/>
        <rFont val="Arial"/>
        <family val="2"/>
      </rPr>
      <t>Midyear
Adjustments
for Students</t>
    </r>
  </si>
  <si>
    <r>
      <t>Audit
Adjust-
ments
FY2010-11
MFP</t>
    </r>
    <r>
      <rPr>
        <sz val="10"/>
        <color indexed="18"/>
        <rFont val="Arial"/>
        <family val="2"/>
      </rPr>
      <t xml:space="preserve">
(Includes 
2/1 midyear
 from 
FY2009-10)</t>
    </r>
  </si>
  <si>
    <r>
      <t xml:space="preserve">Total 
FY2011-12
Allocation 
</t>
    </r>
    <r>
      <rPr>
        <b/>
        <sz val="10"/>
        <color indexed="60"/>
        <rFont val="Arial"/>
        <family val="2"/>
      </rPr>
      <t xml:space="preserve">plus </t>
    </r>
    <r>
      <rPr>
        <b/>
        <sz val="10"/>
        <color indexed="18"/>
        <rFont val="Arial"/>
        <family val="2"/>
      </rPr>
      <t xml:space="preserve">Continuation
of Pay Raises
</t>
    </r>
    <r>
      <rPr>
        <b/>
        <sz val="10"/>
        <color indexed="60"/>
        <rFont val="Arial"/>
        <family val="2"/>
      </rPr>
      <t xml:space="preserve">+/- </t>
    </r>
    <r>
      <rPr>
        <b/>
        <sz val="10"/>
        <color indexed="18"/>
        <rFont val="Arial"/>
        <family val="2"/>
      </rPr>
      <t xml:space="preserve"> Audit  Adjustments
</t>
    </r>
    <r>
      <rPr>
        <b/>
        <sz val="10"/>
        <color rgb="FFFF0000"/>
        <rFont val="Arial"/>
        <family val="2"/>
      </rPr>
      <t/>
    </r>
  </si>
  <si>
    <r>
      <t xml:space="preserve">Total 
FY2011-12
Allocation 
</t>
    </r>
    <r>
      <rPr>
        <b/>
        <sz val="10"/>
        <color indexed="60"/>
        <rFont val="Arial"/>
        <family val="2"/>
      </rPr>
      <t xml:space="preserve">plus </t>
    </r>
    <r>
      <rPr>
        <b/>
        <sz val="10"/>
        <color indexed="18"/>
        <rFont val="Arial"/>
        <family val="2"/>
      </rPr>
      <t xml:space="preserve">Continuation
of Pay Raises
</t>
    </r>
    <r>
      <rPr>
        <b/>
        <sz val="10"/>
        <color rgb="FF993300"/>
        <rFont val="Arial"/>
        <family val="2"/>
      </rPr>
      <t xml:space="preserve">+/-  </t>
    </r>
    <r>
      <rPr>
        <b/>
        <sz val="10"/>
        <color indexed="18"/>
        <rFont val="Arial"/>
        <family val="2"/>
      </rPr>
      <t xml:space="preserve">Audit  Adjustments
</t>
    </r>
    <r>
      <rPr>
        <b/>
        <sz val="14"/>
        <color rgb="FF993300"/>
        <rFont val="Arial"/>
        <family val="2"/>
      </rPr>
      <t>-</t>
    </r>
    <r>
      <rPr>
        <b/>
        <sz val="14"/>
        <color theme="5" tint="-0.249977111117893"/>
        <rFont val="Arial"/>
        <family val="2"/>
      </rPr>
      <t xml:space="preserve"> </t>
    </r>
    <r>
      <rPr>
        <b/>
        <sz val="10"/>
        <color indexed="18"/>
        <rFont val="Arial"/>
        <family val="2"/>
      </rPr>
      <t>EduJobs Funds</t>
    </r>
  </si>
  <si>
    <t>Sitecode</t>
  </si>
  <si>
    <t>036xxx</t>
  </si>
  <si>
    <r>
      <t xml:space="preserve">OPSB
</t>
    </r>
    <r>
      <rPr>
        <sz val="12"/>
        <rFont val="Arial"/>
        <family val="2"/>
      </rPr>
      <t xml:space="preserve">Orleans Parish </t>
    </r>
  </si>
  <si>
    <t>See 
Table 2</t>
  </si>
  <si>
    <t>See Table 2</t>
  </si>
  <si>
    <t>3960xx</t>
  </si>
  <si>
    <t>RSD Operated (Orleans Only)</t>
  </si>
  <si>
    <t>RSD Chartered</t>
  </si>
  <si>
    <r>
      <t xml:space="preserve">New Beginnings, UNO 
</t>
    </r>
    <r>
      <rPr>
        <sz val="11"/>
        <rFont val="Futura Lt BT"/>
        <family val="2"/>
      </rPr>
      <t>(Capdau without Early College H.S.)</t>
    </r>
  </si>
  <si>
    <r>
      <t xml:space="preserve">New Beginnings, UNO 
</t>
    </r>
    <r>
      <rPr>
        <sz val="11"/>
        <rFont val="Futura Lt BT"/>
        <family val="2"/>
      </rPr>
      <t>(Medard Nelson)</t>
    </r>
  </si>
  <si>
    <r>
      <t xml:space="preserve">New Beginnings, UNO
</t>
    </r>
    <r>
      <rPr>
        <sz val="11"/>
        <rFont val="Futura Lt BT"/>
        <family val="2"/>
      </rPr>
      <t>(Thurgood Marshall Early College HS)</t>
    </r>
  </si>
  <si>
    <r>
      <t xml:space="preserve">New Beginnings, UNO
</t>
    </r>
    <r>
      <rPr>
        <sz val="11"/>
        <rFont val="Futura Lt BT"/>
        <family val="2"/>
      </rPr>
      <t>Gentilly Terrace Charter School</t>
    </r>
  </si>
  <si>
    <t>Lagniappe Academies, Inc.
(Lagniappe Academies)</t>
  </si>
  <si>
    <r>
      <t xml:space="preserve">Spirit of Excellence Academy
</t>
    </r>
    <r>
      <rPr>
        <sz val="11"/>
        <rFont val="Futura Lt BT"/>
        <family val="2"/>
      </rPr>
      <t>(Spirit of Exc. Academy)(Harney)</t>
    </r>
  </si>
  <si>
    <r>
      <t xml:space="preserve">Morris Jeff. Community Sch, Inc.
</t>
    </r>
    <r>
      <rPr>
        <sz val="11"/>
        <rFont val="Futura Lt BT"/>
        <family val="2"/>
      </rPr>
      <t>(Morris Jeff. Community School)</t>
    </r>
  </si>
  <si>
    <r>
      <t xml:space="preserve">ReNew Schools
</t>
    </r>
    <r>
      <rPr>
        <sz val="11"/>
        <rFont val="Futura Lt BT"/>
        <family val="2"/>
      </rPr>
      <t>(Live Oak Elementary)</t>
    </r>
  </si>
  <si>
    <r>
      <t xml:space="preserve">ReNew Schools
</t>
    </r>
    <r>
      <rPr>
        <sz val="11"/>
        <rFont val="Futura Lt BT"/>
        <family val="2"/>
      </rPr>
      <t>(Laurel Elementary)</t>
    </r>
  </si>
  <si>
    <r>
      <t xml:space="preserve">Arise Academy
</t>
    </r>
    <r>
      <rPr>
        <sz val="11"/>
        <rFont val="Futura Lt BT"/>
        <family val="2"/>
      </rPr>
      <t>(Arise Academy)</t>
    </r>
  </si>
  <si>
    <t>Success Preparatory Academy
(Success Prep)</t>
  </si>
  <si>
    <r>
      <t xml:space="preserve">Benjamin E. Mays Schools
</t>
    </r>
    <r>
      <rPr>
        <sz val="11"/>
        <rFont val="Futura Lt BT"/>
        <family val="2"/>
      </rPr>
      <t>(Benjamin Mays Prep)</t>
    </r>
  </si>
  <si>
    <r>
      <t xml:space="preserve">Pride College Prep Academy
</t>
    </r>
    <r>
      <rPr>
        <sz val="11"/>
        <rFont val="Futura Lt BT"/>
        <family val="2"/>
      </rPr>
      <t>(Pride College Prep)</t>
    </r>
  </si>
  <si>
    <r>
      <t xml:space="preserve">Advocates for Arts and Tech.
</t>
    </r>
    <r>
      <rPr>
        <sz val="11"/>
        <rFont val="Futura Lt BT"/>
        <family val="2"/>
      </rPr>
      <t>(Crocker Arts)</t>
    </r>
  </si>
  <si>
    <r>
      <t xml:space="preserve">Intercultural Charter School Brd.
</t>
    </r>
    <r>
      <rPr>
        <sz val="11"/>
        <rFont val="Futura Lt BT"/>
        <family val="2"/>
      </rPr>
      <t>(Intercultural Charter)</t>
    </r>
  </si>
  <si>
    <r>
      <t xml:space="preserve">Akili Academy of New Orleans
</t>
    </r>
    <r>
      <rPr>
        <sz val="11"/>
        <rFont val="Futura Lt BT"/>
        <family val="2"/>
      </rPr>
      <t>(Akili Academy)</t>
    </r>
  </si>
  <si>
    <t>Advocates for Science &amp; Math
(New Orleans Charter Science)</t>
  </si>
  <si>
    <r>
      <t xml:space="preserve">Sojourner Truth Academy**
</t>
    </r>
    <r>
      <rPr>
        <sz val="11"/>
        <rFont val="Futura Lt BT"/>
        <family val="2"/>
      </rPr>
      <t>(Sojourner Truth)</t>
    </r>
  </si>
  <si>
    <r>
      <t xml:space="preserve">Miller-McCoy Academy
</t>
    </r>
    <r>
      <rPr>
        <sz val="11"/>
        <rFont val="Futura Lt BT"/>
        <family val="2"/>
      </rPr>
      <t>(Miller-McCoy Academy)</t>
    </r>
  </si>
  <si>
    <r>
      <t xml:space="preserve">N.O. College Prep Academies
</t>
    </r>
    <r>
      <rPr>
        <sz val="11"/>
        <rFont val="Futura Lt BT"/>
        <family val="2"/>
      </rPr>
      <t>(N. O. College Prep /S. Williams)</t>
    </r>
  </si>
  <si>
    <r>
      <t xml:space="preserve">NOLA 180 
</t>
    </r>
    <r>
      <rPr>
        <sz val="11"/>
        <rFont val="Futura Lt BT"/>
        <family val="2"/>
      </rPr>
      <t>(Langston Hughes Academy)</t>
    </r>
  </si>
  <si>
    <r>
      <t xml:space="preserve">Broadmoor Charter
</t>
    </r>
    <r>
      <rPr>
        <sz val="11"/>
        <rFont val="Futura Lt BT"/>
        <family val="2"/>
      </rPr>
      <t xml:space="preserve"> (Andrew H. Wilson/Mc #7)</t>
    </r>
  </si>
  <si>
    <r>
      <t xml:space="preserve">Pelican Educational
</t>
    </r>
    <r>
      <rPr>
        <sz val="11"/>
        <rFont val="Futura Lt BT"/>
        <family val="2"/>
      </rPr>
      <t>(Abrahamson Science &amp; Math)</t>
    </r>
  </si>
  <si>
    <r>
      <t xml:space="preserve">Dryades YMCA
</t>
    </r>
    <r>
      <rPr>
        <sz val="11"/>
        <rFont val="Futura Lt BT"/>
        <family val="2"/>
      </rPr>
      <t>(James M. Singleton Charter Middle)</t>
    </r>
  </si>
  <si>
    <r>
      <t xml:space="preserve">Friends of King 
</t>
    </r>
    <r>
      <rPr>
        <sz val="11"/>
        <rFont val="Futura Lt BT"/>
        <family val="2"/>
      </rPr>
      <t>(Martin Luther King Elem.)</t>
    </r>
  </si>
  <si>
    <r>
      <t xml:space="preserve">New Orleans Charter School Fdtn.
</t>
    </r>
    <r>
      <rPr>
        <sz val="11"/>
        <rFont val="Futura Lt BT"/>
        <family val="2"/>
      </rPr>
      <t xml:space="preserve"> (Mc #28 City Park)</t>
    </r>
  </si>
  <si>
    <r>
      <t xml:space="preserve">Choice Foundation
</t>
    </r>
    <r>
      <rPr>
        <sz val="11"/>
        <rFont val="Futura Lt BT"/>
        <family val="2"/>
      </rPr>
      <t>(Lafayette Academy)</t>
    </r>
  </si>
  <si>
    <r>
      <t xml:space="preserve">Choice Foundation 
</t>
    </r>
    <r>
      <rPr>
        <sz val="11"/>
        <rFont val="Futura Lt BT"/>
        <family val="2"/>
      </rPr>
      <t>(Esperanza/Crossman)</t>
    </r>
  </si>
  <si>
    <r>
      <t xml:space="preserve">Treme Charter School Assoc**
</t>
    </r>
    <r>
      <rPr>
        <sz val="11"/>
        <rFont val="Futura Lt BT"/>
        <family val="2"/>
      </rPr>
      <t xml:space="preserve"> (McDonogh #42)</t>
    </r>
  </si>
  <si>
    <r>
      <t xml:space="preserve">Algiers Charter School Assoc. 
</t>
    </r>
    <r>
      <rPr>
        <sz val="11"/>
        <rFont val="Futura Lt BT"/>
        <family val="2"/>
      </rPr>
      <t>(Martin Behrman)</t>
    </r>
  </si>
  <si>
    <r>
      <t xml:space="preserve">Algiers Charter School Assoc. 
</t>
    </r>
    <r>
      <rPr>
        <sz val="11"/>
        <rFont val="Futura Lt BT"/>
        <family val="2"/>
      </rPr>
      <t>(Dwight D. Eisenhower)</t>
    </r>
  </si>
  <si>
    <r>
      <t xml:space="preserve">Algiers Charter School Assoc. 
</t>
    </r>
    <r>
      <rPr>
        <sz val="11"/>
        <rFont val="Futura Lt BT"/>
        <family val="2"/>
      </rPr>
      <t>(William J. Fischer)</t>
    </r>
  </si>
  <si>
    <r>
      <t xml:space="preserve">Algiers Charter School Assoc.
</t>
    </r>
    <r>
      <rPr>
        <sz val="11"/>
        <rFont val="Futura Lt BT"/>
        <family val="2"/>
      </rPr>
      <t xml:space="preserve"> (McDonogh #32)</t>
    </r>
  </si>
  <si>
    <r>
      <t xml:space="preserve">Algiers Charter School Assoc.
</t>
    </r>
    <r>
      <rPr>
        <sz val="11"/>
        <rFont val="Futura Lt BT"/>
        <family val="2"/>
      </rPr>
      <t>(O. P. Walker Sr. High)</t>
    </r>
  </si>
  <si>
    <r>
      <t xml:space="preserve">Algiers Charter School Assoc. 
</t>
    </r>
    <r>
      <rPr>
        <sz val="11"/>
        <rFont val="Futura Lt BT"/>
        <family val="2"/>
      </rPr>
      <t>(ACSA Tech High at Rosenwald)</t>
    </r>
  </si>
  <si>
    <r>
      <t xml:space="preserve">Instititute of Academic Excellence,
</t>
    </r>
    <r>
      <rPr>
        <sz val="11"/>
        <rFont val="Futura Lt BT"/>
        <family val="2"/>
      </rPr>
      <t>SUNO  (Sophie B. Wright)</t>
    </r>
  </si>
  <si>
    <r>
      <t xml:space="preserve">KIPP New Orleans
</t>
    </r>
    <r>
      <rPr>
        <sz val="11"/>
        <rFont val="Futura Lt BT"/>
        <family val="2"/>
      </rPr>
      <t>(Edward Phillips/Kipp Believe)</t>
    </r>
  </si>
  <si>
    <r>
      <t xml:space="preserve">KIPP New Orleans
</t>
    </r>
    <r>
      <rPr>
        <sz val="11"/>
        <rFont val="Futura Lt BT"/>
        <family val="2"/>
      </rPr>
      <t>(McDonogh #15)</t>
    </r>
  </si>
  <si>
    <r>
      <t xml:space="preserve">KIPP New Orleans
</t>
    </r>
    <r>
      <rPr>
        <sz val="11"/>
        <rFont val="Futura Lt BT"/>
        <family val="2"/>
      </rPr>
      <t>(KIPP Central City Academy)</t>
    </r>
  </si>
  <si>
    <r>
      <t xml:space="preserve">KIPP New Orleans, Inc.
</t>
    </r>
    <r>
      <rPr>
        <sz val="11"/>
        <rFont val="Futura Lt BT"/>
        <family val="2"/>
      </rPr>
      <t>(Kipp Central City Primary)</t>
    </r>
  </si>
  <si>
    <r>
      <t>KIPP New Orleans, Inc.
(</t>
    </r>
    <r>
      <rPr>
        <sz val="11"/>
        <rFont val="Futura Lt BT"/>
        <family val="2"/>
      </rPr>
      <t>Kipp Renaissance High School)</t>
    </r>
  </si>
  <si>
    <r>
      <t xml:space="preserve">KIPP New Orleans, Inc.
</t>
    </r>
    <r>
      <rPr>
        <sz val="11"/>
        <rFont val="Futura Lt BT"/>
        <family val="2"/>
      </rPr>
      <t>Kipp N. O. Leadership Academy)</t>
    </r>
  </si>
  <si>
    <t>Firstline Schools, Inc.
(Samuel J. Green)</t>
  </si>
  <si>
    <r>
      <t xml:space="preserve">Firstline Schools, Inc.
</t>
    </r>
    <r>
      <rPr>
        <sz val="11"/>
        <rFont val="Futura Lt BT"/>
        <family val="2"/>
      </rPr>
      <t>(N. O. Charter Middle at Ashe)</t>
    </r>
  </si>
  <si>
    <r>
      <t xml:space="preserve">Firstline Schools, Inc.
</t>
    </r>
    <r>
      <rPr>
        <sz val="11"/>
        <rFont val="Futura Lt BT"/>
        <family val="2"/>
      </rPr>
      <t>(Dibert School)</t>
    </r>
  </si>
  <si>
    <t>Firstline Schools, Inc.*
(Firstline H.S. Charter)(Clark)</t>
  </si>
  <si>
    <t>Crescent City Schools, Inc.*
(Crescent City School)(Tubman)</t>
  </si>
  <si>
    <t>Comm. Leaders Adv. Student Suc.*
(Fannie C. Williams)</t>
  </si>
  <si>
    <t>ReNew Schools*
(ReNew Accel. H.S., City Park)</t>
  </si>
  <si>
    <t>ReNew Schools*
(ReNew Accel. H.S., West Bank)</t>
  </si>
  <si>
    <t>ReNew Schools*
(K-8 Charter School/Sarah Reed)</t>
  </si>
  <si>
    <t>Total RSD Chartered</t>
  </si>
  <si>
    <t>TOTAL RSD 
(Operated + Chartered)</t>
  </si>
  <si>
    <t>Total OPSB + RSD + DOE</t>
  </si>
  <si>
    <t>* New Charters in FY2011-12 funded based on projected student count; will be updated to actual 10/1/11 count</t>
  </si>
  <si>
    <t>** Includes audit adjustments for FY2011-12</t>
  </si>
  <si>
    <t>Calculation for Prior Year Pay Raises</t>
  </si>
  <si>
    <t>Greater Gentilly H.S.</t>
  </si>
  <si>
    <t>Continuation of Prior Year Pay Raises</t>
  </si>
  <si>
    <t>State Admin Fee</t>
  </si>
  <si>
    <r>
      <t xml:space="preserve">Mid-Year Adjustment for Students
</t>
    </r>
    <r>
      <rPr>
        <sz val="12"/>
        <color indexed="18"/>
        <rFont val="Arial"/>
        <family val="2"/>
      </rPr>
      <t xml:space="preserve"> (Local Portion)</t>
    </r>
  </si>
  <si>
    <t>Local Admin Fee</t>
  </si>
  <si>
    <r>
      <t xml:space="preserve">Feb. 1, 2011
MFP 
Member-
ship
</t>
    </r>
    <r>
      <rPr>
        <sz val="10"/>
        <color indexed="18"/>
        <rFont val="Arial"/>
        <family val="2"/>
      </rPr>
      <t>(Per SIS)</t>
    </r>
  </si>
  <si>
    <r>
      <t xml:space="preserve">State Share
Per Pupil
(Levels 
1, 2  &amp; 3)
</t>
    </r>
    <r>
      <rPr>
        <sz val="10"/>
        <color indexed="18"/>
        <rFont val="Arial"/>
        <family val="2"/>
      </rPr>
      <t>(Table 3, 
col. 29)</t>
    </r>
  </si>
  <si>
    <t>MFP
State
Allocation</t>
  </si>
  <si>
    <t>Continuation
of
Prior Year 
Pay Raises
(FY2001-02 
through
FY2008-09)
Per Pupil
Amount</t>
  </si>
  <si>
    <t>Continuation 
of
Prior Year
Pay Raises</t>
  </si>
  <si>
    <r>
      <t xml:space="preserve">Total
State
Allocation 
</t>
    </r>
    <r>
      <rPr>
        <b/>
        <sz val="10"/>
        <color indexed="60"/>
        <rFont val="Arial"/>
        <family val="2"/>
      </rPr>
      <t>plus</t>
    </r>
    <r>
      <rPr>
        <b/>
        <sz val="10"/>
        <color indexed="18"/>
        <rFont val="Arial"/>
        <family val="2"/>
      </rPr>
      <t xml:space="preserve">
Continuation 
of Pay Raises</t>
    </r>
  </si>
  <si>
    <t>October 2011
Mid-Year
Adjustment 
for Students</t>
  </si>
  <si>
    <t>February 2012
Mid-Year
Adjustments
for Students</t>
  </si>
  <si>
    <t>Total
Mid-Year
Adjustments
for Students</t>
  </si>
  <si>
    <r>
      <t xml:space="preserve">Total
FY2011-12
MFP 
Allocation 
</t>
    </r>
    <r>
      <rPr>
        <b/>
        <sz val="10"/>
        <color indexed="20"/>
        <rFont val="Arial"/>
        <family val="2"/>
      </rPr>
      <t xml:space="preserve">+ </t>
    </r>
    <r>
      <rPr>
        <b/>
        <sz val="10"/>
        <color indexed="18"/>
        <rFont val="Arial"/>
        <family val="2"/>
      </rPr>
      <t xml:space="preserve">Continuation 
of Pay Raises
</t>
    </r>
    <r>
      <rPr>
        <b/>
        <sz val="10"/>
        <color indexed="20"/>
        <rFont val="Arial"/>
        <family val="2"/>
      </rPr>
      <t xml:space="preserve">+/- </t>
    </r>
    <r>
      <rPr>
        <b/>
        <sz val="10"/>
        <color indexed="18"/>
        <rFont val="Arial"/>
        <family val="2"/>
      </rPr>
      <t>Midyear
Adjustments
for Students</t>
    </r>
  </si>
  <si>
    <t>Admin.
Fee
to
RSD</t>
  </si>
  <si>
    <t>Admin.
Fee
to 
LDOE</t>
  </si>
  <si>
    <t>Total
Admin.  
Fee</t>
  </si>
  <si>
    <r>
      <t xml:space="preserve">Total
State
MFP 
Allocation 
</t>
    </r>
    <r>
      <rPr>
        <b/>
        <sz val="10"/>
        <color indexed="60"/>
        <rFont val="Arial"/>
        <family val="2"/>
      </rPr>
      <t xml:space="preserve">+ </t>
    </r>
    <r>
      <rPr>
        <b/>
        <sz val="10"/>
        <color indexed="18"/>
        <rFont val="Arial"/>
        <family val="2"/>
      </rPr>
      <t xml:space="preserve">Contin. 
of Pay Raises
</t>
    </r>
    <r>
      <rPr>
        <b/>
        <sz val="10"/>
        <color indexed="60"/>
        <rFont val="Arial"/>
        <family val="2"/>
      </rPr>
      <t>-</t>
    </r>
    <r>
      <rPr>
        <b/>
        <sz val="10"/>
        <color indexed="18"/>
        <rFont val="Arial"/>
        <family val="2"/>
      </rPr>
      <t xml:space="preserve"> Admin Fee</t>
    </r>
  </si>
  <si>
    <r>
      <t xml:space="preserve">Audit Adjs.
FY2010-11
MFP 
</t>
    </r>
    <r>
      <rPr>
        <sz val="10"/>
        <color indexed="18"/>
        <rFont val="Arial"/>
        <family val="2"/>
      </rPr>
      <t>(also includes 
2/1 midyear
 from 
FY2009-10)</t>
    </r>
  </si>
  <si>
    <r>
      <t xml:space="preserve">Total 
State
Allocation 
</t>
    </r>
    <r>
      <rPr>
        <b/>
        <sz val="10"/>
        <color indexed="60"/>
        <rFont val="Arial"/>
        <family val="2"/>
      </rPr>
      <t xml:space="preserve">+ </t>
    </r>
    <r>
      <rPr>
        <b/>
        <sz val="10"/>
        <color indexed="18"/>
        <rFont val="Arial"/>
        <family val="2"/>
      </rPr>
      <t xml:space="preserve">Continuation
of Pay Raises
</t>
    </r>
    <r>
      <rPr>
        <b/>
        <sz val="10"/>
        <color indexed="60"/>
        <rFont val="Arial"/>
        <family val="2"/>
      </rPr>
      <t xml:space="preserve">- </t>
    </r>
    <r>
      <rPr>
        <b/>
        <sz val="10"/>
        <color indexed="18"/>
        <rFont val="Arial"/>
        <family val="2"/>
      </rPr>
      <t xml:space="preserve">Admin Fees
</t>
    </r>
    <r>
      <rPr>
        <b/>
        <sz val="10"/>
        <color indexed="60"/>
        <rFont val="Arial"/>
        <family val="2"/>
      </rPr>
      <t xml:space="preserve"> +/-</t>
    </r>
    <r>
      <rPr>
        <b/>
        <sz val="10"/>
        <color indexed="18"/>
        <rFont val="Arial"/>
        <family val="2"/>
      </rPr>
      <t xml:space="preserve"> Audit  Adjustments</t>
    </r>
  </si>
  <si>
    <r>
      <t xml:space="preserve">Total 
State
Allocation 
</t>
    </r>
    <r>
      <rPr>
        <b/>
        <sz val="10"/>
        <color indexed="60"/>
        <rFont val="Arial"/>
        <family val="2"/>
      </rPr>
      <t xml:space="preserve">+ </t>
    </r>
    <r>
      <rPr>
        <b/>
        <sz val="10"/>
        <color indexed="18"/>
        <rFont val="Arial"/>
        <family val="2"/>
      </rPr>
      <t xml:space="preserve">Continuation
of Pay Raises
</t>
    </r>
    <r>
      <rPr>
        <b/>
        <sz val="10"/>
        <color indexed="60"/>
        <rFont val="Arial"/>
        <family val="2"/>
      </rPr>
      <t xml:space="preserve">- </t>
    </r>
    <r>
      <rPr>
        <b/>
        <sz val="10"/>
        <color indexed="18"/>
        <rFont val="Arial"/>
        <family val="2"/>
      </rPr>
      <t xml:space="preserve">Admin Fees
</t>
    </r>
    <r>
      <rPr>
        <b/>
        <sz val="10"/>
        <color indexed="60"/>
        <rFont val="Arial"/>
        <family val="2"/>
      </rPr>
      <t xml:space="preserve"> +/-</t>
    </r>
    <r>
      <rPr>
        <b/>
        <sz val="10"/>
        <color indexed="18"/>
        <rFont val="Arial"/>
        <family val="2"/>
      </rPr>
      <t xml:space="preserve"> Audit  Adjustments
</t>
    </r>
    <r>
      <rPr>
        <b/>
        <sz val="10"/>
        <color theme="5" tint="-0.249977111117893"/>
        <rFont val="Arial"/>
        <family val="2"/>
      </rPr>
      <t>-</t>
    </r>
    <r>
      <rPr>
        <b/>
        <sz val="10"/>
        <color theme="5" tint="-0.499984740745262"/>
        <rFont val="Arial"/>
        <family val="2"/>
      </rPr>
      <t xml:space="preserve"> </t>
    </r>
    <r>
      <rPr>
        <b/>
        <sz val="10"/>
        <color indexed="18"/>
        <rFont val="Arial"/>
        <family val="2"/>
      </rPr>
      <t>EduJobs Funds</t>
    </r>
  </si>
  <si>
    <t>State
Monthly
Amount</t>
  </si>
  <si>
    <r>
      <t xml:space="preserve">Local
Per Pupil
</t>
    </r>
    <r>
      <rPr>
        <sz val="10"/>
        <color indexed="18"/>
        <rFont val="Arial"/>
        <family val="2"/>
      </rPr>
      <t>(per Final
Charter
Calculation)</t>
    </r>
  </si>
  <si>
    <t>Total
Local
Allocation</t>
  </si>
  <si>
    <r>
      <t xml:space="preserve">October 
2011
Mid-Year
Adjustment
Change in
Funded
Student 
Count
</t>
    </r>
    <r>
      <rPr>
        <sz val="10"/>
        <color indexed="18"/>
        <rFont val="Arial"/>
        <family val="2"/>
      </rPr>
      <t>(See Col. 3
of Oct. 
Midyear
Adj)</t>
    </r>
  </si>
  <si>
    <t>October
2011
Local
Mid-Year
Adjustment
for
Students</t>
  </si>
  <si>
    <r>
      <t xml:space="preserve">Feb. 2012
Mid-Year
Adjustment
Change in
Funded
Student 
Count
</t>
    </r>
    <r>
      <rPr>
        <sz val="10"/>
        <color indexed="18"/>
        <rFont val="Arial"/>
        <family val="2"/>
      </rPr>
      <t>(See Col. 3
of Feb.
Midyear
Adj)</t>
    </r>
  </si>
  <si>
    <r>
      <t xml:space="preserve">February
 2012
Local
Mid-Year
Adjustment
for 
Students
</t>
    </r>
    <r>
      <rPr>
        <sz val="10"/>
        <color indexed="18"/>
        <rFont val="Arial"/>
        <family val="2"/>
      </rPr>
      <t>(one-half
the 
per-pupil
amount)</t>
    </r>
  </si>
  <si>
    <t xml:space="preserve">Total
Local
Mid-Year
Adjustment
for 
Students
</t>
  </si>
  <si>
    <t>Local Share 
Allocation 
Base Amount
+/-
Mid-year
Adjustment</t>
  </si>
  <si>
    <r>
      <t xml:space="preserve">Total
Local
Allocation 
</t>
    </r>
    <r>
      <rPr>
        <b/>
        <sz val="10"/>
        <color indexed="60"/>
        <rFont val="Arial"/>
        <family val="2"/>
      </rPr>
      <t xml:space="preserve">+ </t>
    </r>
    <r>
      <rPr>
        <b/>
        <sz val="10"/>
        <color indexed="18"/>
        <rFont val="Arial"/>
        <family val="2"/>
      </rPr>
      <t xml:space="preserve">Contin. 
of Pay Raises
</t>
    </r>
    <r>
      <rPr>
        <b/>
        <sz val="10"/>
        <color indexed="60"/>
        <rFont val="Arial"/>
        <family val="2"/>
      </rPr>
      <t>-</t>
    </r>
    <r>
      <rPr>
        <b/>
        <sz val="10"/>
        <color indexed="18"/>
        <rFont val="Arial"/>
        <family val="2"/>
      </rPr>
      <t xml:space="preserve"> Admin Fee</t>
    </r>
  </si>
  <si>
    <r>
      <t xml:space="preserve">Total 
Local
Allocation 
</t>
    </r>
    <r>
      <rPr>
        <b/>
        <sz val="10"/>
        <color indexed="60"/>
        <rFont val="Arial"/>
        <family val="2"/>
      </rPr>
      <t xml:space="preserve">+ </t>
    </r>
    <r>
      <rPr>
        <b/>
        <sz val="10"/>
        <color indexed="18"/>
        <rFont val="Arial"/>
        <family val="2"/>
      </rPr>
      <t xml:space="preserve">Continuation
of Pay Raises
</t>
    </r>
    <r>
      <rPr>
        <b/>
        <sz val="10"/>
        <color indexed="60"/>
        <rFont val="Arial"/>
        <family val="2"/>
      </rPr>
      <t xml:space="preserve">- </t>
    </r>
    <r>
      <rPr>
        <b/>
        <sz val="10"/>
        <color indexed="18"/>
        <rFont val="Arial"/>
        <family val="2"/>
      </rPr>
      <t xml:space="preserve">Admin Fees
</t>
    </r>
    <r>
      <rPr>
        <b/>
        <sz val="10"/>
        <color indexed="60"/>
        <rFont val="Arial"/>
        <family val="2"/>
      </rPr>
      <t xml:space="preserve"> +/-</t>
    </r>
    <r>
      <rPr>
        <b/>
        <sz val="10"/>
        <color indexed="18"/>
        <rFont val="Arial"/>
        <family val="2"/>
      </rPr>
      <t xml:space="preserve"> Audit  Adjustments</t>
    </r>
  </si>
  <si>
    <t>YTD
Local
Payments
through
February 2012</t>
  </si>
  <si>
    <t>Local
Monthly
Amount</t>
  </si>
  <si>
    <r>
      <t xml:space="preserve">Total
State and
Local
Payment
Amount
</t>
    </r>
    <r>
      <rPr>
        <sz val="10"/>
        <color indexed="18"/>
        <rFont val="Arial"/>
        <family val="2"/>
      </rPr>
      <t>(minus
Edujobs)</t>
    </r>
  </si>
  <si>
    <t>Total
State and
Local
Monthly 
Payment
Amount</t>
  </si>
  <si>
    <t>East Baton Rouge 
Parish School Board</t>
  </si>
  <si>
    <t>See
Table 2</t>
  </si>
  <si>
    <t>N/A</t>
  </si>
  <si>
    <r>
      <t xml:space="preserve">Crestworth Learning Acdy, Inc.
</t>
    </r>
    <r>
      <rPr>
        <sz val="11"/>
        <rFont val="Arial"/>
        <family val="2"/>
      </rPr>
      <t>(Crestworth Middle)</t>
    </r>
  </si>
  <si>
    <r>
      <t xml:space="preserve">Advance B R
</t>
    </r>
    <r>
      <rPr>
        <sz val="11"/>
        <rFont val="Arial"/>
        <family val="2"/>
      </rPr>
      <t>(Glen Oaks Middle)</t>
    </r>
  </si>
  <si>
    <r>
      <t xml:space="preserve">Advance B R
</t>
    </r>
    <r>
      <rPr>
        <sz val="11"/>
        <rFont val="Arial"/>
        <family val="2"/>
      </rPr>
      <t>(Prescott Middle)</t>
    </r>
  </si>
  <si>
    <r>
      <t xml:space="preserve">Advance B R
</t>
    </r>
    <r>
      <rPr>
        <sz val="11"/>
        <rFont val="Arial"/>
        <family val="2"/>
      </rPr>
      <t>(Dalton Elementary)</t>
    </r>
  </si>
  <si>
    <r>
      <t xml:space="preserve">Advance B R
</t>
    </r>
    <r>
      <rPr>
        <sz val="11"/>
        <rFont val="Arial"/>
        <family val="2"/>
      </rPr>
      <t>(Lanier Elementary )</t>
    </r>
  </si>
  <si>
    <r>
      <t xml:space="preserve">RSD Operated
</t>
    </r>
    <r>
      <rPr>
        <sz val="11"/>
        <rFont val="Arial"/>
        <family val="2"/>
      </rPr>
      <t>(Capitol High School)</t>
    </r>
  </si>
  <si>
    <r>
      <t xml:space="preserve">RSD Operated
</t>
    </r>
    <r>
      <rPr>
        <sz val="11"/>
        <rFont val="Arial"/>
        <family val="2"/>
      </rPr>
      <t>(Capitol Pre-College for Girls)</t>
    </r>
  </si>
  <si>
    <r>
      <t xml:space="preserve">Pelican Foundation
</t>
    </r>
    <r>
      <rPr>
        <sz val="11"/>
        <rFont val="Arial"/>
        <family val="2"/>
      </rPr>
      <t>(Kenilworth Middle)</t>
    </r>
  </si>
  <si>
    <t>Total Type 5 Charters 
East Baton Rouge Parish</t>
  </si>
  <si>
    <t>Total EBR Parish + 
RSD Charters</t>
  </si>
  <si>
    <r>
      <t xml:space="preserve">
</t>
    </r>
    <r>
      <rPr>
        <sz val="12"/>
        <rFont val="Arial"/>
        <family val="2"/>
      </rPr>
      <t>Pointe Coupee Parish
School Board</t>
    </r>
  </si>
  <si>
    <r>
      <t xml:space="preserve">Advance B R 
</t>
    </r>
    <r>
      <rPr>
        <sz val="11"/>
        <rFont val="Arial"/>
        <family val="2"/>
      </rPr>
      <t>(Pointe Coupee Central High)</t>
    </r>
  </si>
  <si>
    <t>Total Pointe Coupee
Parish + RSD Charters</t>
  </si>
  <si>
    <t xml:space="preserve">
Caddo Parish School Board</t>
  </si>
  <si>
    <r>
      <t>RSD LA Operated
(</t>
    </r>
    <r>
      <rPr>
        <sz val="11"/>
        <rFont val="Arial"/>
        <family val="2"/>
      </rPr>
      <t>Linear Middle)</t>
    </r>
  </si>
  <si>
    <r>
      <t xml:space="preserve">Shreveport Charter, Inc.
</t>
    </r>
    <r>
      <rPr>
        <sz val="11"/>
        <rFont val="Arial"/>
        <family val="2"/>
      </rPr>
      <t>(Linwood M iddle)</t>
    </r>
  </si>
  <si>
    <t>Total Type 5 Charters 
Caddo Parish</t>
  </si>
  <si>
    <t>Total Caddo Parish + RSD Charters</t>
  </si>
  <si>
    <t>St. Helena Parish 
School Board</t>
  </si>
  <si>
    <t>RSD LA Operated
St. Helena Central Middle</t>
  </si>
  <si>
    <t>Total St. Helena Parish
+ RSD LA Operated</t>
  </si>
  <si>
    <t>Total RSD LA</t>
  </si>
  <si>
    <r>
      <t xml:space="preserve">LA Dept. of Education
</t>
    </r>
    <r>
      <rPr>
        <sz val="12"/>
        <rFont val="Arial"/>
        <family val="2"/>
      </rPr>
      <t>Administrative Fee (.25%)</t>
    </r>
  </si>
  <si>
    <r>
      <t xml:space="preserve">RSD LA
</t>
    </r>
    <r>
      <rPr>
        <sz val="12"/>
        <rFont val="Arial"/>
        <family val="2"/>
      </rPr>
      <t>Administrative Fee (1.75%)</t>
    </r>
  </si>
  <si>
    <t xml:space="preserve">March 2012: </t>
  </si>
  <si>
    <t>EBR</t>
  </si>
  <si>
    <t>March 2012:</t>
  </si>
  <si>
    <t>RSD</t>
  </si>
  <si>
    <t>DOE</t>
  </si>
  <si>
    <t>Paid in July</t>
  </si>
  <si>
    <t>Paid in July:</t>
  </si>
  <si>
    <t>Total RSD</t>
  </si>
  <si>
    <t>Total RSD:</t>
  </si>
  <si>
    <t>Total DOE</t>
  </si>
  <si>
    <t>Total DOE:</t>
  </si>
  <si>
    <t>Type 2 Charter School Allocation 
(Madison Prep Academy)</t>
  </si>
  <si>
    <r>
      <t xml:space="preserve">Madison Prep  Academy 
(CSAL:  Community Schools for Apprenticeship 
Learning)
</t>
    </r>
    <r>
      <rPr>
        <sz val="11"/>
        <color indexed="18"/>
        <rFont val="Arial"/>
        <family val="2"/>
      </rPr>
      <t>(Not in a District Building)</t>
    </r>
  </si>
  <si>
    <t>Feb. 1, 2011
MFP
Funded
Membership
(Per SIS)</t>
  </si>
  <si>
    <t xml:space="preserve">
 State 
Per Pupil 
Levels
1, 2 &amp; 3
(per Budget 
Letter)</t>
  </si>
  <si>
    <t>State
Base
Allocation</t>
  </si>
  <si>
    <t>Continuation of
Prior Year  Pay Raises
(FY2001-02 through
FY2008-09) Per Pupil
Amount</t>
  </si>
  <si>
    <t>Continuation
of
Prior Year
Pay 
Raises</t>
  </si>
  <si>
    <t>Total 
State 
Allocation 
Plus
Continuation
of 
Prior Year
Pay
Raises</t>
  </si>
  <si>
    <r>
      <rPr>
        <b/>
        <sz val="10"/>
        <color indexed="18"/>
        <rFont val="Arial"/>
        <family val="2"/>
      </rPr>
      <t xml:space="preserve">State </t>
    </r>
    <r>
      <rPr>
        <b/>
        <sz val="10"/>
        <color indexed="18"/>
        <rFont val="Arial"/>
        <family val="2"/>
      </rPr>
      <t xml:space="preserve">
Admin 
Fee to
Dept. of
Education
(.25%)</t>
    </r>
  </si>
  <si>
    <t>Total 
State 
Allocation 
minus Admin.
Fee</t>
  </si>
  <si>
    <t xml:space="preserve">
Audit
Adjustments
FY2010-11
Budget
Letter</t>
  </si>
  <si>
    <t>Total 
State 
Allocation 
minus Admin.
Fee 
+/- Audit
Adjustments</t>
  </si>
  <si>
    <r>
      <t xml:space="preserve">Total 
State 
Allocation 
minus Admin.
Fee 
</t>
    </r>
    <r>
      <rPr>
        <b/>
        <sz val="10"/>
        <color theme="5" tint="-0.249977111117893"/>
        <rFont val="Arial"/>
        <family val="2"/>
      </rPr>
      <t xml:space="preserve">+/- </t>
    </r>
    <r>
      <rPr>
        <b/>
        <sz val="10"/>
        <color indexed="18"/>
        <rFont val="Arial"/>
        <family val="2"/>
      </rPr>
      <t xml:space="preserve">Audit
Adjustments
</t>
    </r>
    <r>
      <rPr>
        <b/>
        <sz val="10"/>
        <color theme="5" tint="-0.249977111117893"/>
        <rFont val="Arial"/>
        <family val="2"/>
      </rPr>
      <t xml:space="preserve">- </t>
    </r>
    <r>
      <rPr>
        <b/>
        <sz val="10"/>
        <color indexed="18"/>
        <rFont val="Arial"/>
        <family val="2"/>
      </rPr>
      <t>EduJobs Funds</t>
    </r>
  </si>
  <si>
    <t>State
Monthly 
Payment
Amount</t>
  </si>
  <si>
    <t>Local 
Per Pupil 
(per Final Charter per pupil
Calculation)</t>
  </si>
  <si>
    <r>
      <rPr>
        <b/>
        <sz val="10"/>
        <color indexed="18"/>
        <rFont val="Arial"/>
        <family val="2"/>
      </rPr>
      <t>Local</t>
    </r>
    <r>
      <rPr>
        <b/>
        <sz val="10"/>
        <color indexed="18"/>
        <rFont val="Arial"/>
        <family val="2"/>
      </rPr>
      <t xml:space="preserve">
Admin 
Fee to
</t>
    </r>
    <r>
      <rPr>
        <b/>
        <sz val="10"/>
        <color indexed="18"/>
        <rFont val="Arial"/>
        <family val="2"/>
      </rPr>
      <t>Dept.</t>
    </r>
    <r>
      <rPr>
        <b/>
        <sz val="10"/>
        <color indexed="18"/>
        <rFont val="Arial"/>
        <family val="2"/>
      </rPr>
      <t xml:space="preserve"> of
Education
(.25%)</t>
    </r>
  </si>
  <si>
    <t>Total
Local 
Allocation
minus
Local 
Admin Fee</t>
  </si>
  <si>
    <t>Local
Audit
Adjustments
FY2009-10
Budget
Letter</t>
  </si>
  <si>
    <t>Total
Local 
Allocation
minus 
Admin Fee
+/- Audit 
Adj.</t>
  </si>
  <si>
    <t>Local
Monthly
Payment
Amount</t>
  </si>
  <si>
    <t>Admin fee March</t>
  </si>
  <si>
    <t xml:space="preserve">Amount
paid
July
</t>
  </si>
  <si>
    <t>Balance due</t>
  </si>
  <si>
    <t>East Baton Rouge Parish School Board</t>
  </si>
  <si>
    <t>Livingston Parish School Board</t>
  </si>
  <si>
    <t>Zachary Community School System</t>
  </si>
  <si>
    <t>City of Baker School System</t>
  </si>
  <si>
    <t>Central Community School System</t>
  </si>
  <si>
    <t>TOTAL MADISON PREP ALLOCATION</t>
  </si>
  <si>
    <t>LA Dept. of Education Admin. Fee</t>
  </si>
  <si>
    <t>TOTAL Madison Prep Academy +
LA Dept. of Education</t>
  </si>
  <si>
    <t>Type 2 Charter School Allocation
(D'Arbonne Woods Charter School)</t>
  </si>
  <si>
    <r>
      <t xml:space="preserve">D'Arbonne Woods Charter School, Inc.
(D'Arbonne Woods Charter)
</t>
    </r>
    <r>
      <rPr>
        <sz val="11"/>
        <color indexed="18"/>
        <rFont val="Arial"/>
        <family val="2"/>
      </rPr>
      <t>(Not in a District Building)</t>
    </r>
  </si>
  <si>
    <r>
      <t xml:space="preserve">State </t>
    </r>
    <r>
      <rPr>
        <b/>
        <sz val="10"/>
        <color indexed="18"/>
        <rFont val="Arial"/>
        <family val="2"/>
      </rPr>
      <t xml:space="preserve">
Admin 
Fee to
Dept. of
Education
(.25%)</t>
    </r>
  </si>
  <si>
    <t>Audit
Adjustments
FY2010-11
Budget
Letter</t>
  </si>
  <si>
    <t>Total 
State 
Allocation 
minus Admin.
Fee  
+/- Audit
Adjustments</t>
  </si>
  <si>
    <t>Union Parish School Board</t>
  </si>
  <si>
    <t>Ouachita Parish School Board</t>
  </si>
  <si>
    <t>Lincoln Parish School Board</t>
  </si>
  <si>
    <t>Out-of-State</t>
  </si>
  <si>
    <t>TOTAL D'ARBONNE WOODS ALLOCATION</t>
  </si>
  <si>
    <t>LA Dept. of Education
Administration Fee</t>
  </si>
  <si>
    <t>TOTAL D'Arbonne Woods +
LA Dept. of Education</t>
  </si>
  <si>
    <t>Type 2 Charter School Allocation
(International High School of N. O.)</t>
  </si>
  <si>
    <r>
      <t xml:space="preserve">International High School of N. O.
(VIBE:  Voices for Int'l Business &amp; Education)
</t>
    </r>
    <r>
      <rPr>
        <sz val="11"/>
        <color indexed="18"/>
        <rFont val="Arial"/>
        <family val="2"/>
      </rPr>
      <t>(In a District Building)</t>
    </r>
    <r>
      <rPr>
        <b/>
        <sz val="11"/>
        <color indexed="18"/>
        <rFont val="Arial"/>
        <family val="2"/>
      </rPr>
      <t xml:space="preserve">
</t>
    </r>
  </si>
  <si>
    <t>Local 
Per Pupil 
(per Calculation)</t>
  </si>
  <si>
    <t>Orleans Parish School Board</t>
  </si>
  <si>
    <t>Jefferson Parish School Board</t>
  </si>
  <si>
    <t>St. Bernard Parish School Board</t>
  </si>
  <si>
    <t>St. Charles Parish School Board</t>
  </si>
  <si>
    <t>St. John Parish School Board</t>
  </si>
  <si>
    <t>St. Tammany Parish School Board</t>
  </si>
  <si>
    <t>TOTAL INT'L H. S. OF N. O. ALLOCATION</t>
  </si>
  <si>
    <t>TOTAL Int'l H. S. of N. O. +
LA Dept. of Education</t>
  </si>
  <si>
    <t>Type 2 Charter School Allocation
(New Orleans Military/Maritime Academy)</t>
  </si>
  <si>
    <r>
      <t xml:space="preserve">New Orleans Military/Maritime Academy
(Site Code 348001)
</t>
    </r>
    <r>
      <rPr>
        <sz val="11"/>
        <color indexed="18"/>
        <rFont val="Arial"/>
        <family val="2"/>
      </rPr>
      <t>(In a District Building)</t>
    </r>
  </si>
  <si>
    <t xml:space="preserve">Projected
Enrollment
</t>
  </si>
  <si>
    <t>Plaquemines Parish School Board</t>
  </si>
  <si>
    <t>TOTAL New Orleans Military</t>
  </si>
  <si>
    <t>TOTAL New Orleans Military and
LA Dept. of Education</t>
  </si>
  <si>
    <t>Type 2 Charter School Allocation
(Lycee Francois de la Nouvelle Orleans)</t>
  </si>
  <si>
    <r>
      <t xml:space="preserve">Lycee Francois de la Nouvelle Orleans
(LFNO, Inc.)
(Site Code 347001)
</t>
    </r>
    <r>
      <rPr>
        <sz val="11"/>
        <color indexed="18"/>
        <rFont val="Arial"/>
        <family val="2"/>
      </rPr>
      <t>(Not in a District Building)</t>
    </r>
  </si>
  <si>
    <t>Preliminary 
FY2011-12
Foreign 
Language 
Assoc. Teacher 
Stipends
(Updated August 2011)</t>
  </si>
  <si>
    <t>FY2011-12
Total State 
General Fund 
MFP
Distribution 
+/- Adjustments
+ Stipends
- EduJobs 
Funds</t>
  </si>
  <si>
    <t>TOTAL Lycee Francois de la Nouvelle</t>
  </si>
  <si>
    <t>TOTAL Lycee Francois and
LA Dept. of Education</t>
  </si>
  <si>
    <t>Type 2 Charter School Allocation
(Lake Charles Charter Academy)</t>
  </si>
  <si>
    <r>
      <t xml:space="preserve">Lake Charles Charter Academy
(Lake Charles Charter School Assoc., Inc)
(Site Code 346001)
</t>
    </r>
    <r>
      <rPr>
        <sz val="11"/>
        <color indexed="18"/>
        <rFont val="Arial"/>
        <family val="2"/>
      </rPr>
      <t>(Not in a District Building)</t>
    </r>
  </si>
  <si>
    <t>YTD
Local
Payments
through
January 2012</t>
  </si>
  <si>
    <t>Balance 
Due
February 2012
through
June 2012</t>
  </si>
  <si>
    <t>Calcasieu Parish School Board</t>
  </si>
  <si>
    <t>Total Lake Charles Charter Academy</t>
  </si>
  <si>
    <t>TOTAL Lake Charles Charter Academy and
LA Dept. of Education</t>
  </si>
  <si>
    <t>State + Lottery</t>
  </si>
  <si>
    <t>Local</t>
  </si>
  <si>
    <t>Total Payments</t>
  </si>
  <si>
    <t>LA Virtual Charter Academy 
(LAVCA)
(Community School of 
Apprenticeship Learning,)
(CSAL)
(Site Code 343002)
(Orleans)</t>
  </si>
  <si>
    <t xml:space="preserve">Preliminary
Enrollment
</t>
  </si>
  <si>
    <r>
      <t xml:space="preserve">
 State 
Per Pupil 
Levels
1, 2 &amp; 3
</t>
    </r>
    <r>
      <rPr>
        <sz val="10"/>
        <color indexed="18"/>
        <rFont val="Futura Lt BT"/>
        <family val="2"/>
      </rPr>
      <t>(90%)</t>
    </r>
    <r>
      <rPr>
        <b/>
        <sz val="10"/>
        <color indexed="18"/>
        <rFont val="Futura Lt BT"/>
        <family val="2"/>
      </rPr>
      <t xml:space="preserve">
(per Budget 
Letter)</t>
    </r>
  </si>
  <si>
    <t>Continuation of Prior Year  Pay Raises
(FY2001-02 through
FY2008-09) Per Pupil
Amount</t>
  </si>
  <si>
    <r>
      <t xml:space="preserve">Continuation
of
Prior Year
Pay 
Raises
</t>
    </r>
    <r>
      <rPr>
        <sz val="10"/>
        <color indexed="18"/>
        <rFont val="Futura Lt BT"/>
        <family val="2"/>
      </rPr>
      <t>(90%)</t>
    </r>
  </si>
  <si>
    <r>
      <t xml:space="preserve">Total
FY2011-12
MFP 
Allocation 
</t>
    </r>
    <r>
      <rPr>
        <b/>
        <sz val="10"/>
        <color indexed="20"/>
        <rFont val="Futura Lt BT"/>
        <family val="2"/>
      </rPr>
      <t xml:space="preserve">+ </t>
    </r>
    <r>
      <rPr>
        <b/>
        <sz val="10"/>
        <color indexed="18"/>
        <rFont val="Futura Lt BT"/>
        <family val="2"/>
      </rPr>
      <t xml:space="preserve">Continuation 
of Pay Raises
</t>
    </r>
    <r>
      <rPr>
        <b/>
        <sz val="10"/>
        <color indexed="20"/>
        <rFont val="Futura Lt BT"/>
        <family val="2"/>
      </rPr>
      <t xml:space="preserve">+/- </t>
    </r>
    <r>
      <rPr>
        <b/>
        <sz val="10"/>
        <color indexed="18"/>
        <rFont val="Futura Lt BT"/>
        <family val="2"/>
      </rPr>
      <t>Midyear
Adjustments
for Students</t>
    </r>
  </si>
  <si>
    <r>
      <t xml:space="preserve">State </t>
    </r>
    <r>
      <rPr>
        <b/>
        <sz val="10"/>
        <color indexed="18"/>
        <rFont val="Futura Lt BT"/>
        <family val="2"/>
      </rPr>
      <t xml:space="preserve">
Admin 
Fee to
Dept. of
Education
(.25%)</t>
    </r>
  </si>
  <si>
    <r>
      <t xml:space="preserve">Total 
State 
Allocation 
minus Admin.
Fee 
</t>
    </r>
    <r>
      <rPr>
        <b/>
        <sz val="10"/>
        <color theme="5" tint="-0.249977111117893"/>
        <rFont val="Futura Lt BT"/>
        <family val="2"/>
      </rPr>
      <t xml:space="preserve">+/- </t>
    </r>
    <r>
      <rPr>
        <b/>
        <sz val="10"/>
        <color indexed="18"/>
        <rFont val="Futura Lt BT"/>
        <family val="2"/>
      </rPr>
      <t xml:space="preserve">Audit
Adjustments
</t>
    </r>
    <r>
      <rPr>
        <b/>
        <sz val="10"/>
        <color theme="5" tint="-0.249977111117893"/>
        <rFont val="Futura Lt BT"/>
        <family val="2"/>
      </rPr>
      <t xml:space="preserve">- </t>
    </r>
    <r>
      <rPr>
        <b/>
        <sz val="10"/>
        <color indexed="18"/>
        <rFont val="Futura Lt BT"/>
        <family val="2"/>
      </rPr>
      <t>EduJobs Funds</t>
    </r>
  </si>
  <si>
    <t>State
Monthly 
Amount</t>
  </si>
  <si>
    <r>
      <t xml:space="preserve">
Local 
Per Pupil 
</t>
    </r>
    <r>
      <rPr>
        <sz val="10"/>
        <color indexed="18"/>
        <rFont val="Futura Lt BT"/>
        <family val="2"/>
      </rPr>
      <t>(90%)</t>
    </r>
    <r>
      <rPr>
        <b/>
        <sz val="10"/>
        <color indexed="18"/>
        <rFont val="Futura Lt BT"/>
        <family val="2"/>
      </rPr>
      <t xml:space="preserve">
(per Calcul-ation)</t>
    </r>
  </si>
  <si>
    <r>
      <rPr>
        <b/>
        <sz val="10"/>
        <color indexed="18"/>
        <rFont val="Futura Lt BT"/>
        <family val="2"/>
      </rPr>
      <t>Local
Admin 
Fee to
Dept. of
Education
(.25%)</t>
    </r>
  </si>
  <si>
    <r>
      <t xml:space="preserve">Total
State and
Local
Payment
Amount
</t>
    </r>
    <r>
      <rPr>
        <sz val="10"/>
        <color indexed="18"/>
        <rFont val="Futura Lt BT"/>
        <family val="2"/>
      </rPr>
      <t>(minus
Edujobs)</t>
    </r>
  </si>
  <si>
    <t>Total LAVCA</t>
  </si>
  <si>
    <t>LA. Dept. of Ed. Admin Fee</t>
  </si>
  <si>
    <t>TOTAL LAVCA and
LA Dept. of Education</t>
  </si>
  <si>
    <t>Louisiana Connections 
Academy
(Friends of LA Connections Academy)
(Virtual)
(Site Code 345001)
(EBR)</t>
  </si>
  <si>
    <t xml:space="preserve">Total LA Connections </t>
  </si>
  <si>
    <t>TOTAL LA Connections &amp;
LA Dept. of Education</t>
  </si>
  <si>
    <t xml:space="preserve">Table 5D:  FY2011-12 MFP Budget Letter </t>
  </si>
  <si>
    <t>Allocation for Legacy Type 2 Charter Schools (March 2012)</t>
  </si>
  <si>
    <t>Charter Schools</t>
  </si>
  <si>
    <r>
      <t xml:space="preserve">Feb. 1, 2011
MFP
Student 
Count 
</t>
    </r>
    <r>
      <rPr>
        <sz val="10"/>
        <color indexed="18"/>
        <rFont val="Futura Lt BT"/>
        <family val="2"/>
      </rPr>
      <t>(per SIS)</t>
    </r>
  </si>
  <si>
    <r>
      <t xml:space="preserve">FY2011-12
State &amp; Local 
Per Pupil 
</t>
    </r>
    <r>
      <rPr>
        <sz val="10"/>
        <color indexed="18"/>
        <rFont val="Futura Lt BT"/>
        <family val="2"/>
      </rPr>
      <t xml:space="preserve">
(Per Final
Per Pupil
Calculation)</t>
    </r>
  </si>
  <si>
    <t>Total 
Base
Allocation</t>
  </si>
  <si>
    <t>Continuation of 
Prior Year Pay Raises</t>
  </si>
  <si>
    <r>
      <t xml:space="preserve">Total 
Base
Allocation
</t>
    </r>
    <r>
      <rPr>
        <b/>
        <sz val="10"/>
        <color indexed="60"/>
        <rFont val="Futura Lt BT"/>
        <family val="2"/>
      </rPr>
      <t>+</t>
    </r>
    <r>
      <rPr>
        <b/>
        <sz val="10"/>
        <color indexed="18"/>
        <rFont val="Futura Lt BT"/>
        <family val="2"/>
      </rPr>
      <t xml:space="preserve">
Continuation 
of 
Pay Raises</t>
    </r>
  </si>
  <si>
    <t>State
Admin
Fee
to
Dept. of
Education
(.25%)</t>
  </si>
  <si>
    <r>
      <t xml:space="preserve">Total 
Base
Allocation
</t>
    </r>
    <r>
      <rPr>
        <b/>
        <sz val="10"/>
        <color indexed="60"/>
        <rFont val="Futura Lt BT"/>
        <family val="2"/>
      </rPr>
      <t>+</t>
    </r>
    <r>
      <rPr>
        <b/>
        <sz val="10"/>
        <color indexed="18"/>
        <rFont val="Futura Lt BT"/>
        <family val="2"/>
      </rPr>
      <t xml:space="preserve">
Continuation 
of 
Pay Raises
</t>
    </r>
    <r>
      <rPr>
        <b/>
        <sz val="10"/>
        <color rgb="FF993300"/>
        <rFont val="Futura Lt BT"/>
        <family val="2"/>
      </rPr>
      <t>+/-</t>
    </r>
    <r>
      <rPr>
        <b/>
        <sz val="10"/>
        <color rgb="FFFF0000"/>
        <rFont val="Futura Lt BT"/>
        <family val="2"/>
      </rPr>
      <t xml:space="preserve"> 
</t>
    </r>
    <r>
      <rPr>
        <b/>
        <sz val="10"/>
        <color indexed="18"/>
        <rFont val="Futura Lt BT"/>
        <family val="2"/>
      </rPr>
      <t xml:space="preserve">Midyear Adjustment for Students
</t>
    </r>
    <r>
      <rPr>
        <b/>
        <sz val="10"/>
        <color indexed="60"/>
        <rFont val="Futura Lt BT"/>
        <family val="2"/>
      </rPr>
      <t xml:space="preserve">- </t>
    </r>
    <r>
      <rPr>
        <b/>
        <sz val="10"/>
        <color indexed="18"/>
        <rFont val="Futura Lt BT"/>
        <family val="2"/>
      </rPr>
      <t>Admin Fee</t>
    </r>
  </si>
  <si>
    <t xml:space="preserve">FY2010-11
Audit
Adjust-
ments
</t>
  </si>
  <si>
    <r>
      <t xml:space="preserve">Total 
Allocation
</t>
    </r>
    <r>
      <rPr>
        <b/>
        <sz val="10"/>
        <color indexed="60"/>
        <rFont val="Futura Lt BT"/>
        <family val="2"/>
      </rPr>
      <t xml:space="preserve">+ </t>
    </r>
    <r>
      <rPr>
        <b/>
        <sz val="10"/>
        <color indexed="18"/>
        <rFont val="Futura Lt BT"/>
        <family val="2"/>
      </rPr>
      <t xml:space="preserve">Pay Raises
</t>
    </r>
    <r>
      <rPr>
        <b/>
        <sz val="10"/>
        <color indexed="60"/>
        <rFont val="Futura Lt BT"/>
        <family val="2"/>
      </rPr>
      <t xml:space="preserve">- </t>
    </r>
    <r>
      <rPr>
        <b/>
        <sz val="10"/>
        <color indexed="18"/>
        <rFont val="Futura Lt BT"/>
        <family val="2"/>
      </rPr>
      <t xml:space="preserve">Admin. Fee
</t>
    </r>
    <r>
      <rPr>
        <b/>
        <sz val="10"/>
        <color indexed="60"/>
        <rFont val="Futura Lt BT"/>
        <family val="2"/>
      </rPr>
      <t xml:space="preserve">+/- </t>
    </r>
    <r>
      <rPr>
        <b/>
        <sz val="10"/>
        <color indexed="18"/>
        <rFont val="Futura Lt BT"/>
        <family val="2"/>
      </rPr>
      <t xml:space="preserve">Audit Adjustments
</t>
    </r>
    <r>
      <rPr>
        <b/>
        <sz val="10"/>
        <color indexed="18"/>
        <rFont val="Futura Lt BT"/>
        <family val="2"/>
      </rPr>
      <t xml:space="preserve">
</t>
    </r>
  </si>
  <si>
    <r>
      <t xml:space="preserve">Total 
Allocation
</t>
    </r>
    <r>
      <rPr>
        <b/>
        <sz val="10"/>
        <color indexed="60"/>
        <rFont val="Futura Lt BT"/>
        <family val="2"/>
      </rPr>
      <t xml:space="preserve">+ </t>
    </r>
    <r>
      <rPr>
        <b/>
        <sz val="10"/>
        <color indexed="18"/>
        <rFont val="Futura Lt BT"/>
        <family val="2"/>
      </rPr>
      <t xml:space="preserve">Pay Raises
</t>
    </r>
    <r>
      <rPr>
        <b/>
        <sz val="10"/>
        <color indexed="60"/>
        <rFont val="Futura Lt BT"/>
        <family val="2"/>
      </rPr>
      <t xml:space="preserve">- </t>
    </r>
    <r>
      <rPr>
        <b/>
        <sz val="10"/>
        <color indexed="18"/>
        <rFont val="Futura Lt BT"/>
        <family val="2"/>
      </rPr>
      <t xml:space="preserve">Admin. Fee
</t>
    </r>
    <r>
      <rPr>
        <b/>
        <sz val="10"/>
        <color indexed="60"/>
        <rFont val="Futura Lt BT"/>
        <family val="2"/>
      </rPr>
      <t xml:space="preserve">+/- </t>
    </r>
    <r>
      <rPr>
        <b/>
        <sz val="10"/>
        <color indexed="18"/>
        <rFont val="Futura Lt BT"/>
        <family val="2"/>
      </rPr>
      <t xml:space="preserve">Audit Adjustments
</t>
    </r>
    <r>
      <rPr>
        <b/>
        <sz val="10"/>
        <color indexed="60"/>
        <rFont val="Futura Lt BT"/>
        <family val="2"/>
      </rPr>
      <t xml:space="preserve">+ </t>
    </r>
    <r>
      <rPr>
        <b/>
        <sz val="10"/>
        <color indexed="18"/>
        <rFont val="Futura Lt BT"/>
        <family val="2"/>
      </rPr>
      <t xml:space="preserve">Foreign 
Associate
Stipends
</t>
    </r>
    <r>
      <rPr>
        <b/>
        <sz val="10"/>
        <color theme="5" tint="-0.249977111117893"/>
        <rFont val="Futura Lt BT"/>
        <family val="2"/>
      </rPr>
      <t xml:space="preserve">- </t>
    </r>
    <r>
      <rPr>
        <b/>
        <sz val="10"/>
        <color indexed="18"/>
        <rFont val="Futura Lt BT"/>
        <family val="2"/>
      </rPr>
      <t xml:space="preserve">EduJobs Funds
</t>
    </r>
  </si>
  <si>
    <t>YTD
Payments
through
February 2012</t>
  </si>
  <si>
    <t>Balance
Due
March 2012
through
June 2012</t>
  </si>
  <si>
    <t>Total
Allocation
Monthly
Payment
Amount</t>
  </si>
  <si>
    <r>
      <t xml:space="preserve">Stipends 
for
Foreign 
Associate
Teachers
</t>
    </r>
    <r>
      <rPr>
        <sz val="10"/>
        <rFont val="Futura Lt BT"/>
        <family val="2"/>
      </rPr>
      <t>Updated 
in
August 2011</t>
    </r>
  </si>
  <si>
    <r>
      <t xml:space="preserve">Continuation 
of 
Prior Year 
Pay Raises 
</t>
    </r>
    <r>
      <rPr>
        <sz val="10"/>
        <color indexed="18"/>
        <rFont val="Futura Lt BT"/>
        <family val="2"/>
      </rPr>
      <t>(FY2001-02
 through 
FY2008-09)</t>
    </r>
    <r>
      <rPr>
        <b/>
        <sz val="10"/>
        <color indexed="18"/>
        <rFont val="Futura Lt BT"/>
        <family val="2"/>
      </rPr>
      <t xml:space="preserve">
Per Pupil
Amount</t>
    </r>
  </si>
  <si>
    <t>321</t>
  </si>
  <si>
    <r>
      <t xml:space="preserve">New Vision Learning                                     
</t>
    </r>
    <r>
      <rPr>
        <sz val="12"/>
        <rFont val="Futura Lt BT"/>
        <family val="2"/>
      </rPr>
      <t>City of Monroe 
(Not in a district bldg)</t>
    </r>
  </si>
  <si>
    <t>329</t>
  </si>
  <si>
    <r>
      <t xml:space="preserve">Glencoe Charter School                                    
</t>
    </r>
    <r>
      <rPr>
        <sz val="12"/>
        <rFont val="Futura Lt BT"/>
        <family val="2"/>
      </rPr>
      <t>St. Mary Parish 
(Not in a district bldg)</t>
    </r>
  </si>
  <si>
    <t>331</t>
  </si>
  <si>
    <r>
      <t xml:space="preserve">International School of LA             
</t>
    </r>
    <r>
      <rPr>
        <sz val="12"/>
        <rFont val="Futura Lt BT"/>
        <family val="2"/>
      </rPr>
      <t>Orleans Parish 
(In a district bldg.)</t>
    </r>
  </si>
  <si>
    <t>333</t>
  </si>
  <si>
    <r>
      <t xml:space="preserve">Avoyelles Public Charter School                     
</t>
    </r>
    <r>
      <rPr>
        <sz val="12"/>
        <rFont val="Futura Lt BT"/>
        <family val="2"/>
      </rPr>
      <t>Avoyelles Parish 
(Not in a district bldg)</t>
    </r>
  </si>
  <si>
    <t>336</t>
  </si>
  <si>
    <r>
      <t xml:space="preserve">Delhi Charter School                                    </t>
    </r>
    <r>
      <rPr>
        <sz val="12"/>
        <rFont val="Futura Lt BT"/>
        <family val="2"/>
      </rPr>
      <t xml:space="preserve"> 
Richland Parish
(Not in a district bldg)</t>
    </r>
  </si>
  <si>
    <t>337</t>
  </si>
  <si>
    <r>
      <t xml:space="preserve">Belle Chasse Academy                                 
</t>
    </r>
    <r>
      <rPr>
        <sz val="12"/>
        <rFont val="Futura Lt BT"/>
        <family val="2"/>
      </rPr>
      <t>Plaquemines Parish
(Not in a district bldg)</t>
    </r>
  </si>
  <si>
    <t>339</t>
  </si>
  <si>
    <r>
      <t xml:space="preserve">Milestone SABIS Academy
</t>
    </r>
    <r>
      <rPr>
        <sz val="12"/>
        <rFont val="Futura Lt BT"/>
        <family val="2"/>
      </rPr>
      <t>Orleans Parish
(Not in a district bldg)</t>
    </r>
  </si>
  <si>
    <t>340</t>
  </si>
  <si>
    <r>
      <t xml:space="preserve">Maxine Giardina 
</t>
    </r>
    <r>
      <rPr>
        <sz val="12"/>
        <rFont val="Futura Lt BT"/>
        <family val="2"/>
      </rPr>
      <t>Lafourche Parish
(Not in a district bldg)</t>
    </r>
  </si>
  <si>
    <t>TOTAL TYPE 2 CHARTER
 SCHOOL ALLOCATION</t>
  </si>
  <si>
    <t>Department of Education
Administrative Fee</t>
  </si>
  <si>
    <t>Total</t>
  </si>
  <si>
    <t>Children's Charter not allowed to project student count per Beth 6/24/2010</t>
  </si>
  <si>
    <t>August:  Children's Charter allowed 20 additional students for adding a grade.  (not allowed the 20 extra for adding a class in 6th grade)</t>
  </si>
  <si>
    <t>SCHOOL 
SYSTEM</t>
  </si>
  <si>
    <r>
      <t xml:space="preserve">MFP State Share of Educational Cost for Youth in Secure Care 
</t>
    </r>
    <r>
      <rPr>
        <b/>
        <sz val="10"/>
        <color indexed="18"/>
        <rFont val="Arial"/>
        <family val="2"/>
      </rPr>
      <t xml:space="preserve">Based on FY2010-11 Average Daily Membership (ADM) </t>
    </r>
  </si>
  <si>
    <t>MFP Local Share of Educational Cost for 
Youth in Secure Care</t>
  </si>
  <si>
    <t>Total State and Local Educational Cost for OJJ 
Secure
Care
Students</t>
  </si>
  <si>
    <t>State
and 
Local
Monthly
Payment
Amount</t>
  </si>
  <si>
    <r>
      <t xml:space="preserve">
ADM
for Youth  in Secure Care 
</t>
    </r>
    <r>
      <rPr>
        <sz val="10"/>
        <color indexed="18"/>
        <rFont val="Arial"/>
        <family val="2"/>
      </rPr>
      <t>(Preliminary 
10/11 ADM Data)</t>
    </r>
    <r>
      <rPr>
        <b/>
        <sz val="8"/>
        <color indexed="10"/>
        <rFont val="Arial"/>
        <family val="2"/>
      </rPr>
      <t xml:space="preserve">
</t>
    </r>
    <r>
      <rPr>
        <b/>
        <sz val="10"/>
        <color indexed="56"/>
        <rFont val="Arial"/>
        <family val="2"/>
      </rPr>
      <t/>
    </r>
  </si>
  <si>
    <r>
      <t>FY2011-12
Levels 1, 2 &amp; 3
STATE SHARE
OF COST
Per Pupil</t>
    </r>
    <r>
      <rPr>
        <b/>
        <sz val="12"/>
        <color indexed="18"/>
        <rFont val="Arial"/>
        <family val="2"/>
      </rPr>
      <t>*</t>
    </r>
    <r>
      <rPr>
        <b/>
        <sz val="10"/>
        <color indexed="18"/>
        <rFont val="Arial"/>
        <family val="2"/>
      </rPr>
      <t xml:space="preserve">
</t>
    </r>
    <r>
      <rPr>
        <sz val="10"/>
        <color indexed="18"/>
        <rFont val="Arial"/>
        <family val="2"/>
      </rPr>
      <t>(Table 3, Col 33)</t>
    </r>
  </si>
  <si>
    <t>Per Pupil Amount
Adjusted for
 Year-Round
School</t>
  </si>
  <si>
    <t>Per Pupil Amount
Adjusted for
 Year-Round
School and 
50% Special Ed</t>
  </si>
  <si>
    <t>State Share
of Educational
Cost for OJJ
Secure Care
Students</t>
  </si>
  <si>
    <t>Amount 
Paid
YTD
through
February
2012</t>
  </si>
  <si>
    <t>Balance Remaining</t>
  </si>
  <si>
    <t>State
Share
Monthly
Payment
Amount</t>
  </si>
  <si>
    <r>
      <t xml:space="preserve">FY2011-12
Levels 1 and 2
LOCAL 
SHARE 
OF COST
</t>
    </r>
    <r>
      <rPr>
        <sz val="10"/>
        <color indexed="18"/>
        <rFont val="Arial"/>
        <family val="2"/>
      </rPr>
      <t>(Table 3, Col 36)</t>
    </r>
  </si>
  <si>
    <t>Feb. 1, 2011
MFP 
Funded
Membership
(Per SIS)</t>
  </si>
  <si>
    <t>Feb. 1, 2011
MFP Funded
Membership 
+ 
ADM* at OJJ</t>
  </si>
  <si>
    <t>Adjusted
Local
Share
Per Pupil
including
OJJ</t>
  </si>
  <si>
    <t>Local Share 
of 
Educational
 Cost for 
OJJ 
Secure Care
Students</t>
  </si>
  <si>
    <t>Amount
Paid
YTD
through
February
2012</t>
  </si>
  <si>
    <t>Local 
Share
Monthly
Payment
Amount</t>
  </si>
  <si>
    <t>Per SIS</t>
  </si>
  <si>
    <t>MFP 
Budget Ltr</t>
  </si>
  <si>
    <t>col 2 X 1.3164</t>
  </si>
  <si>
    <t>col 3 + $1,470</t>
  </si>
  <si>
    <t>col 1 X col 4</t>
  </si>
  <si>
    <t>col 5 - col 6</t>
  </si>
  <si>
    <t>col 7 ÷ 4</t>
  </si>
  <si>
    <t>MFP
Budget Ltr</t>
  </si>
  <si>
    <t>col 1 + col 8</t>
  </si>
  <si>
    <t>col 7 ÷
col 9</t>
  </si>
  <si>
    <t>col 1   X 
col 10</t>
  </si>
  <si>
    <t>col 13 - col 14</t>
  </si>
  <si>
    <t>col 15 ÷ 4</t>
  </si>
  <si>
    <t>col 5 +
 col 13</t>
  </si>
  <si>
    <t>col 8 +
col 16</t>
  </si>
  <si>
    <t>Includes Continuation of FY2007/08 and FY08-09 Pay Raise</t>
  </si>
  <si>
    <t>**</t>
  </si>
  <si>
    <t>State Average is used in the calculation of students with prior residency of "Out of State" or "Unknown"</t>
  </si>
  <si>
    <t xml:space="preserve">Note:  </t>
  </si>
  <si>
    <t>The State may have to fund the local portion of students identified as being from out of the state</t>
  </si>
  <si>
    <t>(=56/177))</t>
  </si>
  <si>
    <t>Special Ed Students on 2/1/09 (state)</t>
  </si>
  <si>
    <t>base students 2/1/09 (state)</t>
  </si>
  <si>
    <t>percentage special ed students to base students (state average)</t>
  </si>
  <si>
    <t>weigted add on special ed students 2/1/09</t>
  </si>
  <si>
    <t>total weighted students 2/1/09</t>
  </si>
  <si>
    <t>percentage special ed add on students to total weighted students</t>
  </si>
  <si>
    <t>total Level 1 and Level 2 state dollars</t>
  </si>
  <si>
    <t>Total L1 &amp; L2 dollars time 14.1%</t>
  </si>
  <si>
    <t>For 14% to increase to 50%, that is a 3572% increase</t>
  </si>
  <si>
    <t>14.1% of L1 &amp; L2 dolalrs x 354%</t>
  </si>
  <si>
    <t>base students on 2/1/09</t>
  </si>
  <si>
    <t>per pupil amount of special ed funding</t>
  </si>
  <si>
    <t>minus per pupil amount of original special ed funding ($375,552,036/650,290)</t>
  </si>
  <si>
    <t>Per pupil amount to increase funding for OJJ per pupil amounts</t>
  </si>
  <si>
    <t>Table 6:  Calculation of the Local Deduction</t>
  </si>
  <si>
    <t>("Table 7 state total col. 25" x "Tbl 7 col. 3") / 1000</t>
  </si>
  <si>
    <t>"Table 7 total col. 27" * "Tbl 7 col. 31"</t>
  </si>
  <si>
    <t>School 
System</t>
  </si>
  <si>
    <t>Local Deduction (Property, Sales &amp; Other Revenue)</t>
  </si>
  <si>
    <t xml:space="preserve"> Local Deduction (Property, Sales &amp; Other Revenue)(continued)</t>
  </si>
  <si>
    <t>2009
Ad Valorem 
Tax Revenues
(per 09-10 AFR)</t>
  </si>
  <si>
    <t>2009
Net Assessed 
Property
(with 10% Cap)</t>
  </si>
  <si>
    <t xml:space="preserve">Projected Yield of Property Tax Millage Rate of </t>
  </si>
  <si>
    <t>FY2009-10
Sales Tax Revenue
(per 09-10 AFR)</t>
  </si>
  <si>
    <t>FY2009-10
Computed Sales Tax Base with 15% Cap on Growth</t>
  </si>
  <si>
    <t>Projected Yield of Sales Tax Rate of</t>
  </si>
  <si>
    <t>Other Revenue</t>
  </si>
  <si>
    <t>Total 
Local Deduction
(sales,prop,
other)</t>
  </si>
  <si>
    <t>La. Tax Commission Tables 41 &amp; 43</t>
  </si>
  <si>
    <t>AFR-kpc 62220 col. 3</t>
  </si>
  <si>
    <t>AFR-kpc 62220 col. 4</t>
  </si>
  <si>
    <t>AFR-kpc 62320 col. 3</t>
  </si>
  <si>
    <t>AFR-kpc 62320 col. 4</t>
  </si>
  <si>
    <t>AFR-kpc 62320 col. 5</t>
  </si>
  <si>
    <t>AFR-kpc 62320 col. 6</t>
  </si>
  <si>
    <t>AFR-kpc 62320 col. 7</t>
  </si>
  <si>
    <t>AFR-kpc 62320 col. 8</t>
  </si>
  <si>
    <t>col. 5 + col. 7 + col. 11</t>
  </si>
  <si>
    <t>AFR-kpc 62620 col. 3</t>
  </si>
  <si>
    <t>AFR-kpc 62620 col. 4</t>
  </si>
  <si>
    <t>AFR-kpc 62620 col. 5</t>
  </si>
  <si>
    <t>AFR-kpc 62620 col. 6</t>
  </si>
  <si>
    <t>AFR-kpc 62620 col. 7</t>
  </si>
  <si>
    <t>AFR-kpc 62620 col. 8</t>
  </si>
  <si>
    <t>col. 14 + col. 18</t>
  </si>
  <si>
    <t>col. 4 + col. 6 + col 13</t>
  </si>
  <si>
    <t>col. 5 + col. 7 + col 14</t>
  </si>
  <si>
    <t>col. 11 + col. 18</t>
  </si>
  <si>
    <t>(col. 19/ col. 3)*1000</t>
  </si>
  <si>
    <t>(col. 12/ col. 3)*1000</t>
  </si>
  <si>
    <t>(col. 26/ col. 3)*1000</t>
  </si>
  <si>
    <t>AFR-kpc 63320 col.3</t>
  </si>
  <si>
    <t>AFR kpc 63320 col.4</t>
  </si>
  <si>
    <t>AFR kpc 63320 col. 5</t>
  </si>
  <si>
    <t>col. 30/ col 27</t>
  </si>
  <si>
    <t>col. 28/ col. 31</t>
  </si>
  <si>
    <t>col. 29/ col. 31</t>
  </si>
  <si>
    <t>AFR kpcs (50% of 1210, 1220) 8231, 8232, 8233, 8234, 8240, 14200, 14300, 14400</t>
  </si>
  <si>
    <t>col. 34+col.30+col. 26</t>
  </si>
  <si>
    <t>Col.35 / Tab.3 col.1</t>
  </si>
  <si>
    <t xml:space="preserve">  2009 ASSESSED PROPERTY VALUE</t>
  </si>
  <si>
    <t>AD VALOREM 
CONSTITUTIONAL TAX</t>
  </si>
  <si>
    <t>AD VALOREM RENEWABLE TAXES</t>
  </si>
  <si>
    <t>TOTAL AD VALOREM TAXES
(NON DEBT)</t>
  </si>
  <si>
    <t>DEBT SERVICE TAXES</t>
  </si>
  <si>
    <t>TOTAL AD VALOREM TAXES         (DEBT)</t>
  </si>
  <si>
    <t>SUMMARY OF AD VALOREM TAXES</t>
  </si>
  <si>
    <t>TOTAL 
AD VALOREM 
REVENUE 
INCLUDING DEBT
(2009-2010)</t>
  </si>
  <si>
    <t>SUMMARY OF SALES TAXES</t>
  </si>
  <si>
    <t>TOTAL 
SALES TAX REVENUE
(2009-10</t>
  </si>
  <si>
    <t>COMPUTED SALES TAX BASE</t>
  </si>
  <si>
    <t>OTHER REVENUES:  
Includes State and Federal taxes in lieu of &amp; 50% of earnings from 16th section and from other real estate
2009-10AFR</t>
  </si>
  <si>
    <t>Total Revenue 
(for Use in MFP Level 1 and 2)</t>
  </si>
  <si>
    <t>2009
TOTAL ASSESSED PROPERTY VALUE</t>
  </si>
  <si>
    <t>2009
ASSESSED HOMESTEAD EXEMPTION</t>
  </si>
  <si>
    <t>2009
NET ASSESSED TAXABLE PROPERTY</t>
  </si>
  <si>
    <t>(Prior Year)
 2008
Net Assessed Taxable Property (Without cap)</t>
  </si>
  <si>
    <t>% Change</t>
  </si>
  <si>
    <t>2009
NET ASSESSED TAXABLE PROPERTY
with Cap of</t>
  </si>
  <si>
    <t>PARISH 
MILL 
RATE</t>
  </si>
  <si>
    <t>PARISH REVENUE AMOUNT</t>
  </si>
  <si>
    <t>DIST. MILL LOW</t>
  </si>
  <si>
    <t>DIST. MILL HIGH</t>
  </si>
  <si>
    <t># OF DISTS.</t>
  </si>
  <si>
    <t>DIST. 
REVENUE 
AMOUNT</t>
  </si>
  <si>
    <t>PARISH 
REVENUE 
AMOUNT</t>
  </si>
  <si>
    <t>DIST 
MILL 
LOW</t>
  </si>
  <si>
    <t>DIST 
MILL 
HIGH</t>
  </si>
  <si>
    <t># 
OF 
DISTS.</t>
  </si>
  <si>
    <t>DIST 
REVENUE 
AMOUNT</t>
  </si>
  <si>
    <t>PARISHWIDE  
MILLAGE 
INCL. DEBT</t>
  </si>
  <si>
    <t>REVENUE
PARISHWIDE
INCL. DEBT</t>
  </si>
  <si>
    <t>REVENUE
DISTRICT 
INCL. DEBT</t>
  </si>
  <si>
    <t>TOTAL AVG.
MILL RATE 
(DEBT)</t>
  </si>
  <si>
    <t>TOTAL AVG. 
MILL RATE 
(NON DEBT)</t>
  </si>
  <si>
    <t>TOTAL AVG.
MILL RATE 
INCLUDING
DEBT</t>
  </si>
  <si>
    <t>COMBINED 
SALES 
PERCENT</t>
  </si>
  <si>
    <t>SALES
REVENUE 
(NON-DEBT)</t>
  </si>
  <si>
    <t>SALES 
REVENUE 
(DEBT)</t>
  </si>
  <si>
    <t>(Prior Year)
2010-11
 COMPUTED SALES TAX BASE
(Without cap)</t>
  </si>
  <si>
    <t>2011-12
COMPUTED
 SALES TAX 
BASE</t>
  </si>
  <si>
    <t xml:space="preserve">
COMPUTED SALES 
TAX BASE
 PERCENT CHANGE</t>
  </si>
  <si>
    <t xml:space="preserve">COMPUTED SALES
TAX BASE with GROWTH CAP OF </t>
  </si>
  <si>
    <t>NON-DEBT RATE</t>
  </si>
  <si>
    <t>DEBT 
RATE</t>
  </si>
  <si>
    <t>3a</t>
  </si>
  <si>
    <t>3b</t>
  </si>
  <si>
    <t>3c</t>
  </si>
  <si>
    <t>Includes</t>
  </si>
  <si>
    <t>Central decrease 10,614</t>
  </si>
  <si>
    <t>Central decrease 81,596</t>
  </si>
  <si>
    <t>Central decrease 2,363</t>
  </si>
  <si>
    <t>orleans decreased 54,750</t>
  </si>
  <si>
    <t>TIF Revenues</t>
  </si>
  <si>
    <t>for Livingston</t>
  </si>
  <si>
    <t>School System</t>
  </si>
  <si>
    <t>October 1, 2011
Mid-Year
Adjustment</t>
  </si>
  <si>
    <t>February 1, 2012
Mid-Year Adjustment</t>
  </si>
  <si>
    <t>Total
Mid-Year 
Adjustment
for
Students</t>
  </si>
  <si>
    <t>Increases
in
MFP
Funded
Amount</t>
  </si>
  <si>
    <t>Decreases
in
MFP
Funded
Amount</t>
  </si>
  <si>
    <t>Acadia Parish School Board</t>
  </si>
  <si>
    <t>Allen Parish School Board</t>
  </si>
  <si>
    <t>Ascension Parish School Board</t>
  </si>
  <si>
    <t>Assumption Parish School Board</t>
  </si>
  <si>
    <t>Avoyelles Parish School Board</t>
  </si>
  <si>
    <t>Beauregard Parish School Board</t>
  </si>
  <si>
    <t>Bienville Parish School Board</t>
  </si>
  <si>
    <t>Bossier Parish School Board</t>
  </si>
  <si>
    <t>Caddo Parish School Board</t>
  </si>
  <si>
    <t>Caldwell Parish School Board</t>
  </si>
  <si>
    <t>Cameron Parish School Board</t>
  </si>
  <si>
    <t>Catahoula Parish School Board</t>
  </si>
  <si>
    <t>Claiborne Parish School Board</t>
  </si>
  <si>
    <t>Concordia Parish School Board</t>
  </si>
  <si>
    <t>DeSoto Parish School Board</t>
  </si>
  <si>
    <t>East Carroll Parish School Board</t>
  </si>
  <si>
    <t>East Feliciana Parish School Board</t>
  </si>
  <si>
    <t>Evangeline Parish School Board</t>
  </si>
  <si>
    <t>Franklin Parish School Board</t>
  </si>
  <si>
    <t>Grant Parish School Board</t>
  </si>
  <si>
    <t>Iberia Parish School Board</t>
  </si>
  <si>
    <t>Iberville Parish School Board</t>
  </si>
  <si>
    <t>Jackson Parish School Board</t>
  </si>
  <si>
    <t>Jefferson Davis Parish School Board</t>
  </si>
  <si>
    <t>Lafayette Parish School Board</t>
  </si>
  <si>
    <t>Lafourche Parish School Board</t>
  </si>
  <si>
    <t>LaSalle Parish School Board</t>
  </si>
  <si>
    <t>Madison Parish School Board</t>
  </si>
  <si>
    <t>Morehouse Parish School Board</t>
  </si>
  <si>
    <t>Natchitoches Parish School Board</t>
  </si>
  <si>
    <t>Pointe Coupee Parish School Board</t>
  </si>
  <si>
    <t>Rapides Parish School Board</t>
  </si>
  <si>
    <t>Red River Parish School Board</t>
  </si>
  <si>
    <t>Richland Parish School Board</t>
  </si>
  <si>
    <t>Sabine Parish School Board</t>
  </si>
  <si>
    <t>St. Helena Parish School Board</t>
  </si>
  <si>
    <t>St. James Parish School Board</t>
  </si>
  <si>
    <t>St. John the Baptist Parish School Board</t>
  </si>
  <si>
    <t>St. Landry Parish School Board</t>
  </si>
  <si>
    <t>St. Martin Parish School Board</t>
  </si>
  <si>
    <t>St. Mary Parish School Board</t>
  </si>
  <si>
    <t>Tangipahoa Parish School Board</t>
  </si>
  <si>
    <t>Tensas Parish School Board</t>
  </si>
  <si>
    <t>Terrebonne Parish School Board</t>
  </si>
  <si>
    <t>Vermilion Parish School Board</t>
  </si>
  <si>
    <t>Vernon Parish School Board</t>
  </si>
  <si>
    <t>Washington Parish School Board</t>
  </si>
  <si>
    <t>Webster Parish School Board</t>
  </si>
  <si>
    <t>West Baton Rouge Parish School Board</t>
  </si>
  <si>
    <t>West Carroll Parish School Board</t>
  </si>
  <si>
    <t>West Feliciana Parish School Board</t>
  </si>
  <si>
    <t>Winn Parish School Board</t>
  </si>
  <si>
    <t>City of Monroe School Board</t>
  </si>
  <si>
    <t>City of Bogalusa School Board</t>
  </si>
  <si>
    <t>Zachary Community School Board</t>
  </si>
  <si>
    <t>City of Baker School Board</t>
  </si>
  <si>
    <t>Central Community School Board</t>
  </si>
  <si>
    <t>LEA TOTALS</t>
  </si>
  <si>
    <t>LSU Lab School</t>
  </si>
  <si>
    <t>Southern Lab School</t>
  </si>
  <si>
    <t>Total Lab Schools</t>
  </si>
  <si>
    <t>LA School for Math, Science and the Arts (LSMSA)</t>
  </si>
  <si>
    <t>Total LA School for Math, Science and the Arts (LSMSA)</t>
  </si>
  <si>
    <t>New Orleans Center for Creative Arts (NOCCA)</t>
  </si>
  <si>
    <t>Total New Orleans Center for Creative Arts (NOCCA)</t>
  </si>
  <si>
    <t>New Vision Learning (City of Monroe)</t>
  </si>
  <si>
    <t>Glencoe Charter School (St. Mary Parish)</t>
  </si>
  <si>
    <t>International School of LA (Orleans Parish)</t>
  </si>
  <si>
    <t>Avoyelles Public Charter School (Avoyelles Parish)</t>
  </si>
  <si>
    <t>Delhi Charter School (Richland Parish)</t>
  </si>
  <si>
    <t>Belle Chasse Academy (Plaquemines Parish)</t>
  </si>
  <si>
    <t>Milestone SABIS Academy (Orleans Parish)</t>
  </si>
  <si>
    <t>Maxine Giardina (Lafourche Parish)</t>
  </si>
  <si>
    <t>Total Legacy Type 2 Charter Schools</t>
  </si>
  <si>
    <t>Louisiana Virtual Charter Academy (LAVCA)</t>
  </si>
  <si>
    <t>Louisiana Connections Academy (LACA)</t>
  </si>
  <si>
    <t>Total Type 2 Virtual Charters</t>
  </si>
  <si>
    <t>Total Madison Prep (CSAL) (Type 2 in MFP)</t>
  </si>
  <si>
    <t>Total D'Arbonne Woods (Type 2 in MFP)</t>
  </si>
  <si>
    <t>Total Int'l High School of N. O. (Type 2 in MFP)</t>
  </si>
  <si>
    <t>Total New Orleans Military/Maritime Admy (Type 2 in MFP)</t>
  </si>
  <si>
    <t>Total Lycee Francois de la Nouvelle Orleans (Type 2 in MFP)</t>
  </si>
  <si>
    <t>Lake Charles Charter Academy</t>
  </si>
  <si>
    <t>Total Lake Charles Charter Academy (Type 2 in MFP)</t>
  </si>
  <si>
    <t>Recovery School District - Orleans (RSD Orleans Operated)</t>
  </si>
  <si>
    <t>Linear Middle School/Caddo Parish (RSD LA Operated)</t>
  </si>
  <si>
    <t>St. Helena Middle ((RSD LA Operated)</t>
  </si>
  <si>
    <t xml:space="preserve">Capitol High School </t>
  </si>
  <si>
    <t>Abrahamson Science &amp; Math (RSD Orleans Operated)</t>
  </si>
  <si>
    <t>Total RSD Operated</t>
  </si>
  <si>
    <t>300001</t>
  </si>
  <si>
    <t xml:space="preserve">New Beginnings, UNO (Capdau)
</t>
  </si>
  <si>
    <t>300002</t>
  </si>
  <si>
    <t>New Beginnings, UNO (Medard Nelson)</t>
  </si>
  <si>
    <t>300003</t>
  </si>
  <si>
    <t>New Beginnings, UNO (Thurgood Marshall Early College)</t>
  </si>
  <si>
    <t>300004</t>
  </si>
  <si>
    <t>New Beginnings, UNO (Gentilly Terrace Charter School)</t>
  </si>
  <si>
    <t>363001</t>
  </si>
  <si>
    <t>Crescent City Schools, Inc.* (Crescent City School)(Tubman)</t>
  </si>
  <si>
    <t>364001</t>
  </si>
  <si>
    <t>Comm. Leaders Adv. Student Suc.* (Fannie C. Williams)</t>
  </si>
  <si>
    <t>366001</t>
  </si>
  <si>
    <t>Lagniappe Academies, Inc. (Lagniappe Academies)</t>
  </si>
  <si>
    <t>367001</t>
  </si>
  <si>
    <t>Spirit of Excellence Academy (Spirit of Exc. Academy)(Harney)</t>
  </si>
  <si>
    <t>368001</t>
  </si>
  <si>
    <t>Morris Jeff. Community Sch, Inc. (Morris Jeff. Community School)</t>
  </si>
  <si>
    <t>369001</t>
  </si>
  <si>
    <t>ReNew Schools (Live Oak Elementary)</t>
  </si>
  <si>
    <t>369002</t>
  </si>
  <si>
    <t>ReNew Schools (Laurel Elementary)</t>
  </si>
  <si>
    <t>369003</t>
  </si>
  <si>
    <t>ReNew Schools* (K-8 Charter School/Sarah Reed)</t>
  </si>
  <si>
    <t>369004</t>
  </si>
  <si>
    <t>ReNew Schools* (ReNew Accel. H.S., City Park)</t>
  </si>
  <si>
    <t>369005</t>
  </si>
  <si>
    <t>ReNew Schools* (ReNew Accel. H.S., West Bank)</t>
  </si>
  <si>
    <t>373001</t>
  </si>
  <si>
    <t>Arise Academy (Arise Academy)</t>
  </si>
  <si>
    <t>374001</t>
  </si>
  <si>
    <t>Success Preparatory Academy (Success Prep)</t>
  </si>
  <si>
    <t>375001</t>
  </si>
  <si>
    <t>Benjamin E. Mays Schools (Benjamin Mays Prep)</t>
  </si>
  <si>
    <t>376001</t>
  </si>
  <si>
    <t>Pride College Prep Academy (Pride College Prep)</t>
  </si>
  <si>
    <t>379001</t>
  </si>
  <si>
    <t>Advocates for Arts and Tech. (Crocker Arts)</t>
  </si>
  <si>
    <t>380001</t>
  </si>
  <si>
    <t>Intercultural Charter School Brd. (Intercultural Charter)</t>
  </si>
  <si>
    <t>381001</t>
  </si>
  <si>
    <t>Akili Academy of New Orleans (Akili Academy)</t>
  </si>
  <si>
    <t>382001</t>
  </si>
  <si>
    <t>Advocates for Science &amp; Math (New Orleans Charter Science)</t>
  </si>
  <si>
    <t>383001</t>
  </si>
  <si>
    <t>Sojourner Truth Academy (Sojourner Truth)</t>
  </si>
  <si>
    <t>384001</t>
  </si>
  <si>
    <t>Miller-McCoy Academy (Miller-McCoy Academy)</t>
  </si>
  <si>
    <t>385001</t>
  </si>
  <si>
    <t>N.O. College Prep Academies (N. O. College Prep /S. Williams)</t>
  </si>
  <si>
    <t>387001</t>
  </si>
  <si>
    <t>NOLA 180  (Langston Hughes Academy)</t>
  </si>
  <si>
    <t>388001</t>
  </si>
  <si>
    <t>Broadmoor Charter (Andrew H. Wilson/Mc #7)</t>
  </si>
  <si>
    <t>390001</t>
  </si>
  <si>
    <t>Dryades YMCA (James M. Singleton Charter Middle)</t>
  </si>
  <si>
    <t>391001</t>
  </si>
  <si>
    <t>Friends of King  (Martin Luther King Elem.)</t>
  </si>
  <si>
    <t>392001</t>
  </si>
  <si>
    <t>New Orleans Charter School Fdtn. (Mc #28 City Park)</t>
  </si>
  <si>
    <t>393001</t>
  </si>
  <si>
    <t>Choice Foundation (Lafayette Academy)</t>
  </si>
  <si>
    <t>393002</t>
  </si>
  <si>
    <t>Choice Foundation (Esperanza/Crossman)</t>
  </si>
  <si>
    <t>394003</t>
  </si>
  <si>
    <t>Treme Charter School Assoc (McDonogh #42)</t>
  </si>
  <si>
    <t>395001</t>
  </si>
  <si>
    <t>Algiers Charter School Assoc. (Martin Behrman)</t>
  </si>
  <si>
    <t>395002</t>
  </si>
  <si>
    <t>Algiers Charter School Assoc. (Dwight D. Eisenhower)</t>
  </si>
  <si>
    <t>395003</t>
  </si>
  <si>
    <t>Algiers Charter School Assoc. (William J. Fischer)</t>
  </si>
  <si>
    <t>395004</t>
  </si>
  <si>
    <t>Algiers Charter School Assoc. (McDonogh #32)</t>
  </si>
  <si>
    <t>395005</t>
  </si>
  <si>
    <t>Algiers Charter School Assoc. (O. P. Walker Sr. High)</t>
  </si>
  <si>
    <t>395007</t>
  </si>
  <si>
    <t>Algiers Charter School Assoc. (ACSA Tech High at Rosenwald)</t>
  </si>
  <si>
    <t>397001</t>
  </si>
  <si>
    <t>Instititute of Academic Excellence, SUNO  (Sophie B. Wright)</t>
  </si>
  <si>
    <t>398001</t>
  </si>
  <si>
    <t>KIPP New Orleans (Edward Phillips/Kipp Believe)</t>
  </si>
  <si>
    <t>398002</t>
  </si>
  <si>
    <t>KIPP New Orleans (McDonogh #15)</t>
  </si>
  <si>
    <t>398003</t>
  </si>
  <si>
    <t>KIPP New Orleans (KIPP Central City Academy)</t>
  </si>
  <si>
    <t>398004</t>
  </si>
  <si>
    <t>KIPP New Orleans, Inc. (Kipp Central City Primary)</t>
  </si>
  <si>
    <t>398005</t>
  </si>
  <si>
    <t>KIPP New Orleans, Inc. (Kipp Renaissance High School)</t>
  </si>
  <si>
    <t>398006</t>
  </si>
  <si>
    <t>KIPP New Orleans, Inc. (Kipp N. O. Leadership Admy)</t>
  </si>
  <si>
    <t>399001</t>
  </si>
  <si>
    <t>Firstline Schools, Inc. (Samuel J. Green)</t>
  </si>
  <si>
    <t>399002</t>
  </si>
  <si>
    <t>Firstline Schools, Inc. (N. O. Charter Middle at Ashe)</t>
  </si>
  <si>
    <t>399003</t>
  </si>
  <si>
    <t>Firstline Schools, Inc.* (Firstline H.S. Charter)(Clark)</t>
  </si>
  <si>
    <t>399004</t>
  </si>
  <si>
    <t>Firstline Schools, Inc. (Dibert School)</t>
  </si>
  <si>
    <t>TOTAL RSD Orleans (Chartered only)</t>
  </si>
  <si>
    <t>372001</t>
  </si>
  <si>
    <t>Crestworth Learning Acdy, Inc. (Crestworth Middle)</t>
  </si>
  <si>
    <t>377001</t>
  </si>
  <si>
    <t>Advance B R (Glen Oaks Middle)</t>
  </si>
  <si>
    <t>377002</t>
  </si>
  <si>
    <t>Advance B R (Prescott Middle)</t>
  </si>
  <si>
    <t>377004</t>
  </si>
  <si>
    <t>Advance B R (Dalton Elementary)</t>
  </si>
  <si>
    <t>377005</t>
  </si>
  <si>
    <t>Advance B R (Lanier Elementary )</t>
  </si>
  <si>
    <t>389002</t>
  </si>
  <si>
    <t>Pelican Foundation (Kenilworth Middle)</t>
  </si>
  <si>
    <t>Total Type 5 Charters - EBR</t>
  </si>
  <si>
    <t>Advance Baton Rouge (Pointe Coupee Central High)</t>
  </si>
  <si>
    <t>Total Type 5 Charters - Pointe Coupee</t>
  </si>
  <si>
    <t>Linwood Middle School</t>
  </si>
  <si>
    <t>Total Type 5 Charters - Caddo</t>
  </si>
  <si>
    <t>Office of Juvenile Justice - OJJ**</t>
  </si>
  <si>
    <t>Total Statewide</t>
  </si>
  <si>
    <r>
      <t xml:space="preserve">Intitial
 MFP 
Funded
Membership 
</t>
    </r>
    <r>
      <rPr>
        <sz val="11"/>
        <color indexed="10"/>
        <rFont val="Arial"/>
        <family val="2"/>
      </rPr>
      <t>(based on 
2.1.11 
SIS Data 
and Initial 
Projections)</t>
    </r>
  </si>
  <si>
    <t>Oct. 1, 2011
MFP 
Membership
(Actual 
SIS Data)</t>
  </si>
  <si>
    <t>Change 
in 
MFP Funded 
Count 
Feb. 1, 2011
 to 
Oct. 1, 2011</t>
  </si>
  <si>
    <t>Increases
in
MFP
Funded
Count</t>
  </si>
  <si>
    <t>Decreases
in
MFP
Funded 
Count</t>
  </si>
  <si>
    <r>
      <t xml:space="preserve">Per Pupil 
Amount 
(Levels 1, 
2 &amp;3)
per 
FY2011-12
Budget 
Letter
</t>
    </r>
    <r>
      <rPr>
        <sz val="11"/>
        <color indexed="10"/>
        <rFont val="Arial"/>
        <family val="2"/>
      </rPr>
      <t>(without
 Pay Raise 
Continuation)</t>
    </r>
  </si>
  <si>
    <t>Per Pupil
Amount 
 for
Contin-
uation
of
Prior
Year
Pay 
Raises</t>
  </si>
  <si>
    <r>
      <t xml:space="preserve">Total
 Per Pupil
Amount 
Funded
</t>
    </r>
    <r>
      <rPr>
        <sz val="11"/>
        <color indexed="10"/>
        <rFont val="Arial"/>
        <family val="2"/>
      </rPr>
      <t>(Levels 1, 2 &amp; 3
plus 
Prior Year
 Pay Raise)</t>
    </r>
  </si>
  <si>
    <r>
      <t xml:space="preserve">Change in
MFP Funded
Count
Times
Per Pupil 
Amount
</t>
    </r>
    <r>
      <rPr>
        <sz val="11"/>
        <color indexed="10"/>
        <rFont val="Arial"/>
        <family val="2"/>
      </rPr>
      <t>(Levels 1, 2 &amp; 3 
plus
 Prior Year
Pay Raise)</t>
    </r>
  </si>
  <si>
    <t>Decreases
in
MFP
Amount</t>
  </si>
  <si>
    <t xml:space="preserve"> MFP Budget Letter</t>
  </si>
  <si>
    <t>SIS 
Data</t>
  </si>
  <si>
    <t>Col. (2) - 
Col. (1)</t>
  </si>
  <si>
    <t>Increases
 in Col. 3</t>
  </si>
  <si>
    <t>Decreases in Col. 3</t>
  </si>
  <si>
    <t>Table 3 
Col. (29)</t>
  </si>
  <si>
    <t xml:space="preserve">Table 4 
Col. (14) </t>
  </si>
  <si>
    <t xml:space="preserve">Col. (6) +
Col. (7) </t>
  </si>
  <si>
    <t>Col. (3) x Col. (8)</t>
  </si>
  <si>
    <t>Increases in
Column 9</t>
  </si>
  <si>
    <t>Decreases in
Column 9</t>
  </si>
  <si>
    <t>**OJJ originally funded on estimated 09/10 ADM; updated to final 09/10 ADM</t>
  </si>
  <si>
    <t>TOTAL 69 LEAS and RSD</t>
  </si>
  <si>
    <t>Type 2's in the MFP (Includes 1st year Type 2 Charters and Legacy Type 2's)</t>
  </si>
  <si>
    <t>Lab Schools, LSMSA and NOCCA</t>
  </si>
  <si>
    <t>OJJ</t>
  </si>
  <si>
    <t>Louisiana Virtual Charter Academy
School System</t>
  </si>
  <si>
    <t xml:space="preserve"> MFP
Budget Letter</t>
  </si>
  <si>
    <t>Increases in
Column 3</t>
  </si>
  <si>
    <t>Decreases in
Column 3</t>
  </si>
  <si>
    <t xml:space="preserve">Col. (4) +
Col. (5) </t>
  </si>
  <si>
    <t>LA Virtual Academy</t>
  </si>
  <si>
    <t>Louisiana Connections Academy
School System</t>
  </si>
  <si>
    <t>LA Connections Academy</t>
  </si>
  <si>
    <t>Col. (3) x Col. (6)</t>
  </si>
  <si>
    <t>Feb. 1, 2012
MFP
Membership
(Actual
SIS Data)</t>
  </si>
  <si>
    <t>Change 
in 
MFP Funded 
Count 
Oct. 1, 2011
to
Feb. 1, 2012</t>
  </si>
  <si>
    <r>
      <t xml:space="preserve">One-Half
 Per Pupil
Amount 
Funded
</t>
    </r>
    <r>
      <rPr>
        <sz val="11"/>
        <color indexed="10"/>
        <rFont val="Arial"/>
        <family val="2"/>
      </rPr>
      <t>(One-Half of Levels 1, 2 &amp; 3
plus 
Prior Year
 Pay Raise)</t>
    </r>
  </si>
  <si>
    <t>Col. (6) +
Col. (7)*1/2</t>
  </si>
  <si>
    <r>
      <t xml:space="preserve">One-Half
 Per Pupil
Amount 
Funded
</t>
    </r>
    <r>
      <rPr>
        <sz val="11"/>
        <color indexed="10"/>
        <rFont val="Arial"/>
        <family val="2"/>
      </rPr>
      <t>(One-Half of
Levels 1, 2 &amp; 3
plus 
Prior Year
 Pay Raise)</t>
    </r>
  </si>
  <si>
    <t>One-Half
State Share
of Educational
Cost for OJJ
Secure Care
Students</t>
  </si>
  <si>
    <r>
      <t xml:space="preserve">Change in
MFP Funded
Count
Times
Per Pupil 
Amount
</t>
    </r>
    <r>
      <rPr>
        <sz val="11"/>
        <color indexed="10"/>
        <rFont val="Arial"/>
        <family val="2"/>
      </rPr>
      <t>(One-Half of
Levels 1, 2 &amp; 3 
plus
 Prior Year
Pay Raise)</t>
    </r>
  </si>
  <si>
    <r>
      <rPr>
        <b/>
        <sz val="16"/>
        <color theme="0" tint="-0.34998626667073579"/>
        <rFont val="Futura Lt BT"/>
        <family val="2"/>
      </rPr>
      <t>JULY</t>
    </r>
    <r>
      <rPr>
        <sz val="10"/>
        <color theme="0" tint="-0.34998626667073579"/>
        <rFont val="Futura Lt BT"/>
        <family val="2"/>
      </rPr>
      <t xml:space="preserve">
Local
Admin 
Fee to
Dept. of
Education
(.25%)</t>
    </r>
  </si>
  <si>
    <r>
      <rPr>
        <b/>
        <sz val="14"/>
        <color theme="0" tint="-0.34998626667073579"/>
        <rFont val="Futura Lt BT"/>
        <family val="2"/>
      </rPr>
      <t>March</t>
    </r>
    <r>
      <rPr>
        <sz val="10"/>
        <color theme="0" tint="-0.34998626667073579"/>
        <rFont val="Futura Lt BT"/>
        <family val="2"/>
      </rPr>
      <t xml:space="preserve">
Local
Admin 
Fee to
Dept. of
Education
(.25%)</t>
    </r>
  </si>
  <si>
    <r>
      <t xml:space="preserve">Source: </t>
    </r>
    <r>
      <rPr>
        <sz val="10"/>
        <color theme="0" tint="-0.34998626667073579"/>
        <rFont val="Futura Lt BT"/>
        <family val="2"/>
      </rPr>
      <t xml:space="preserve"> State and Local per pupil calculation based on FY2009/10 Budget Letter; Local Revenue per FY2007-08AFR</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</si>
</sst>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 numFmtId="165" formatCode="&quot;$&quot;#,##0"/>
    <numFmt numFmtId="166" formatCode="0.0000000"/>
    <numFmt numFmtId="167" formatCode="0.000%"/>
    <numFmt numFmtId="168" formatCode="_(* #,##0.0_);_(* \(#,##0.0\);_(* &quot;-&quot;??_);_(@_)"/>
    <numFmt numFmtId="169" formatCode="#,##0.0"/>
    <numFmt numFmtId="170" formatCode="&quot;$&quot;#,##0;[Red]&quot;$&quot;#,##0"/>
    <numFmt numFmtId="171" formatCode="&quot;$&quot;#,##0.00"/>
    <numFmt numFmtId="172" formatCode="#,##0.0_);[Red]\(#,##0.0\)"/>
  </numFmts>
  <fonts count="122">
    <font>
      <sz val="10"/>
      <name val="Arial"/>
    </font>
    <font>
      <b/>
      <sz val="22"/>
      <name val="Arial Narrow"/>
      <family val="2"/>
    </font>
    <font>
      <b/>
      <sz val="24"/>
      <name val="Arial Narrow"/>
      <family val="2"/>
    </font>
    <font>
      <b/>
      <sz val="18"/>
      <color indexed="20"/>
      <name val="Arial Narrow"/>
      <family val="2"/>
    </font>
    <font>
      <b/>
      <sz val="18"/>
      <name val="Arial Narrow"/>
      <family val="2"/>
    </font>
    <font>
      <b/>
      <sz val="12"/>
      <name val="Arial Narrow"/>
      <family val="2"/>
    </font>
    <font>
      <b/>
      <sz val="12"/>
      <color indexed="18"/>
      <name val="Arial Narrow"/>
      <family val="2"/>
    </font>
    <font>
      <b/>
      <sz val="14"/>
      <color indexed="18"/>
      <name val="Arial Narrow"/>
      <family val="2"/>
    </font>
    <font>
      <sz val="12"/>
      <color indexed="18"/>
      <name val="Arial Narrow"/>
      <family val="2"/>
    </font>
    <font>
      <b/>
      <sz val="16"/>
      <color indexed="10"/>
      <name val="Arial"/>
      <family val="2"/>
    </font>
    <font>
      <sz val="10"/>
      <color indexed="18"/>
      <name val="Arial"/>
      <family val="2"/>
    </font>
    <font>
      <b/>
      <i/>
      <sz val="10"/>
      <color indexed="18"/>
      <name val="Arial Narrow"/>
      <family val="2"/>
    </font>
    <font>
      <sz val="8"/>
      <name val="Arial Narrow"/>
      <family val="2"/>
    </font>
    <font>
      <sz val="12"/>
      <name val="Arial Narrow"/>
      <family val="2"/>
    </font>
    <font>
      <sz val="10"/>
      <name val="Arial"/>
      <family val="2"/>
    </font>
    <font>
      <b/>
      <sz val="12"/>
      <color indexed="62"/>
      <name val="Arial Narrow"/>
      <family val="2"/>
    </font>
    <font>
      <b/>
      <sz val="12"/>
      <color indexed="20"/>
      <name val="Arial Narrow"/>
      <family val="2"/>
    </font>
    <font>
      <sz val="11"/>
      <name val="Arial"/>
      <family val="2"/>
    </font>
    <font>
      <b/>
      <sz val="10"/>
      <color indexed="20"/>
      <name val="Arial"/>
      <family val="2"/>
    </font>
    <font>
      <b/>
      <sz val="10"/>
      <name val="Arial"/>
      <family val="2"/>
    </font>
    <font>
      <b/>
      <sz val="14"/>
      <name val="Arial"/>
      <family val="2"/>
    </font>
    <font>
      <b/>
      <sz val="10"/>
      <color indexed="18"/>
      <name val="Arial"/>
      <family val="2"/>
    </font>
    <font>
      <b/>
      <sz val="10"/>
      <color rgb="FFFF0000"/>
      <name val="Arial"/>
      <family val="2"/>
    </font>
    <font>
      <b/>
      <sz val="10"/>
      <color indexed="60"/>
      <name val="Arial"/>
      <family val="2"/>
    </font>
    <font>
      <b/>
      <sz val="10"/>
      <color indexed="16"/>
      <name val="Arial"/>
      <family val="2"/>
    </font>
    <font>
      <sz val="10"/>
      <color rgb="FFFF0000"/>
      <name val="Arial"/>
      <family val="2"/>
    </font>
    <font>
      <sz val="12"/>
      <name val="Arial"/>
      <family val="2"/>
    </font>
    <font>
      <b/>
      <i/>
      <sz val="21"/>
      <name val="Arial"/>
      <family val="2"/>
    </font>
    <font>
      <b/>
      <sz val="16"/>
      <name val="Arial"/>
      <family val="2"/>
    </font>
    <font>
      <b/>
      <i/>
      <sz val="20"/>
      <name val="Arial"/>
      <family val="2"/>
    </font>
    <font>
      <b/>
      <i/>
      <sz val="10"/>
      <name val="Arial"/>
      <family val="2"/>
    </font>
    <font>
      <b/>
      <i/>
      <sz val="18"/>
      <name val="Arial Narrow"/>
      <family val="2"/>
    </font>
    <font>
      <b/>
      <sz val="12"/>
      <color indexed="12"/>
      <name val="CG Omega (PCL6)"/>
      <family val="2"/>
    </font>
    <font>
      <b/>
      <i/>
      <sz val="10"/>
      <color indexed="12"/>
      <name val="Arial"/>
      <family val="2"/>
    </font>
    <font>
      <sz val="10"/>
      <name val="Arial Narrow"/>
      <family val="2"/>
    </font>
    <font>
      <sz val="9"/>
      <name val="Arial Narrow"/>
      <family val="2"/>
    </font>
    <font>
      <sz val="9"/>
      <name val="Arial"/>
      <family val="2"/>
    </font>
    <font>
      <b/>
      <sz val="10"/>
      <color indexed="20"/>
      <name val="Arial Narrow"/>
      <family val="2"/>
    </font>
    <font>
      <sz val="10"/>
      <color indexed="20"/>
      <name val="Arial Narrow"/>
      <family val="2"/>
    </font>
    <font>
      <b/>
      <sz val="11"/>
      <name val="Arial Narrow"/>
      <family val="2"/>
    </font>
    <font>
      <b/>
      <sz val="10"/>
      <name val="Arial Narrow"/>
      <family val="2"/>
    </font>
    <font>
      <b/>
      <sz val="8"/>
      <color indexed="18"/>
      <name val="Arial"/>
      <family val="2"/>
    </font>
    <font>
      <b/>
      <sz val="10"/>
      <color indexed="18"/>
      <name val="Arial Narrow"/>
      <family val="2"/>
    </font>
    <font>
      <b/>
      <sz val="10"/>
      <color indexed="10"/>
      <name val="Arial"/>
      <family val="2"/>
    </font>
    <font>
      <b/>
      <sz val="10"/>
      <color indexed="10"/>
      <name val="Arial Narrow"/>
      <family val="2"/>
    </font>
    <font>
      <b/>
      <sz val="8"/>
      <color indexed="10"/>
      <name val="Arial"/>
      <family val="2"/>
    </font>
    <font>
      <b/>
      <sz val="14"/>
      <color indexed="10"/>
      <name val="Arial Narrow"/>
      <family val="2"/>
    </font>
    <font>
      <sz val="16"/>
      <color indexed="10"/>
      <name val="Arial"/>
      <family val="2"/>
    </font>
    <font>
      <sz val="10"/>
      <color indexed="12"/>
      <name val="Arial"/>
      <family val="2"/>
    </font>
    <font>
      <sz val="9"/>
      <color indexed="8"/>
      <name val="Arial Narrow"/>
      <family val="2"/>
    </font>
    <font>
      <b/>
      <sz val="12"/>
      <color indexed="18"/>
      <name val="Arial"/>
      <family val="2"/>
    </font>
    <font>
      <sz val="12"/>
      <color indexed="18"/>
      <name val="Arial"/>
      <family val="2"/>
    </font>
    <font>
      <b/>
      <sz val="9"/>
      <color indexed="18"/>
      <name val="Arial"/>
      <family val="2"/>
    </font>
    <font>
      <b/>
      <sz val="10"/>
      <color rgb="FF000099"/>
      <name val="Arial"/>
      <family val="2"/>
    </font>
    <font>
      <b/>
      <sz val="12"/>
      <name val="Arial"/>
      <family val="2"/>
    </font>
    <font>
      <b/>
      <sz val="10"/>
      <color rgb="FF993300"/>
      <name val="Arial"/>
      <family val="2"/>
    </font>
    <font>
      <b/>
      <sz val="14"/>
      <color rgb="FF993300"/>
      <name val="Arial"/>
      <family val="2"/>
    </font>
    <font>
      <b/>
      <sz val="14"/>
      <color theme="5" tint="-0.249977111117893"/>
      <name val="Arial"/>
      <family val="2"/>
    </font>
    <font>
      <b/>
      <sz val="12"/>
      <color indexed="22"/>
      <name val="Arial"/>
      <family val="2"/>
    </font>
    <font>
      <sz val="10"/>
      <name val="Futura Lt BT"/>
      <family val="2"/>
    </font>
    <font>
      <sz val="12"/>
      <name val="Futura Lt BT"/>
      <family val="2"/>
    </font>
    <font>
      <sz val="11"/>
      <name val="Futura Lt BT"/>
      <family val="2"/>
    </font>
    <font>
      <b/>
      <sz val="10"/>
      <name val="Futura Lt BT"/>
      <family val="2"/>
    </font>
    <font>
      <b/>
      <sz val="10.5"/>
      <name val="Futura Lt BT"/>
      <family val="2"/>
    </font>
    <font>
      <b/>
      <sz val="11"/>
      <name val="Arial"/>
      <family val="2"/>
    </font>
    <font>
      <b/>
      <sz val="11"/>
      <color indexed="18"/>
      <name val="Arial"/>
      <family val="2"/>
    </font>
    <font>
      <b/>
      <sz val="20"/>
      <color indexed="20"/>
      <name val="Arial Narrow"/>
      <family val="2"/>
    </font>
    <font>
      <b/>
      <sz val="10"/>
      <color theme="5" tint="-0.249977111117893"/>
      <name val="Arial"/>
      <family val="2"/>
    </font>
    <font>
      <b/>
      <sz val="10"/>
      <color theme="5" tint="-0.499984740745262"/>
      <name val="Arial"/>
      <family val="2"/>
    </font>
    <font>
      <sz val="11"/>
      <color indexed="18"/>
      <name val="Arial"/>
      <family val="2"/>
    </font>
    <font>
      <b/>
      <sz val="10"/>
      <color rgb="FF000082"/>
      <name val="Arial"/>
      <family val="2"/>
    </font>
    <font>
      <sz val="10"/>
      <color theme="0"/>
      <name val="Futura Lt BT"/>
      <family val="2"/>
    </font>
    <font>
      <b/>
      <sz val="12"/>
      <name val="Futura Lt BT"/>
      <family val="2"/>
    </font>
    <font>
      <sz val="12"/>
      <color theme="0"/>
      <name val="Futura Lt BT"/>
      <family val="2"/>
    </font>
    <font>
      <b/>
      <sz val="9"/>
      <name val="Futura Lt BT"/>
      <family val="2"/>
    </font>
    <font>
      <b/>
      <sz val="14"/>
      <color indexed="18"/>
      <name val="Arial"/>
      <family val="2"/>
    </font>
    <font>
      <b/>
      <sz val="11"/>
      <color indexed="18"/>
      <name val="Futura Lt BT"/>
      <family val="2"/>
    </font>
    <font>
      <b/>
      <sz val="10"/>
      <color indexed="18"/>
      <name val="Futura Lt BT"/>
      <family val="2"/>
    </font>
    <font>
      <sz val="10"/>
      <color indexed="18"/>
      <name val="Futura Lt BT"/>
      <family val="2"/>
    </font>
    <font>
      <b/>
      <sz val="10"/>
      <color indexed="20"/>
      <name val="Futura Lt BT"/>
      <family val="2"/>
    </font>
    <font>
      <b/>
      <sz val="10"/>
      <color indexed="10"/>
      <name val="Futura Lt BT"/>
      <family val="2"/>
    </font>
    <font>
      <b/>
      <sz val="10"/>
      <color theme="5" tint="-0.249977111117893"/>
      <name val="Futura Lt BT"/>
      <family val="2"/>
    </font>
    <font>
      <b/>
      <sz val="10"/>
      <color rgb="FF000082"/>
      <name val="Futura Lt BT"/>
      <family val="2"/>
    </font>
    <font>
      <b/>
      <sz val="16"/>
      <color indexed="18"/>
      <name val="Futura Lt BT"/>
      <family val="2"/>
    </font>
    <font>
      <b/>
      <sz val="20"/>
      <name val="Futura Lt BT"/>
      <family val="2"/>
    </font>
    <font>
      <b/>
      <sz val="18"/>
      <name val="Futura Lt BT"/>
      <family val="2"/>
    </font>
    <font>
      <sz val="14"/>
      <color theme="0"/>
      <name val="Futura Lt BT"/>
      <family val="2"/>
    </font>
    <font>
      <sz val="14"/>
      <name val="Futura Lt BT"/>
      <family val="2"/>
    </font>
    <font>
      <b/>
      <sz val="14"/>
      <color indexed="20"/>
      <name val="Futura Lt BT"/>
      <family val="2"/>
    </font>
    <font>
      <b/>
      <sz val="10"/>
      <color indexed="60"/>
      <name val="Futura Lt BT"/>
      <family val="2"/>
    </font>
    <font>
      <b/>
      <sz val="10"/>
      <color rgb="FF993300"/>
      <name val="Futura Lt BT"/>
      <family val="2"/>
    </font>
    <font>
      <b/>
      <sz val="10"/>
      <color rgb="FFFF0000"/>
      <name val="Futura Lt BT"/>
      <family val="2"/>
    </font>
    <font>
      <b/>
      <sz val="14"/>
      <name val="Futura Lt BT"/>
      <family val="2"/>
    </font>
    <font>
      <b/>
      <sz val="18"/>
      <name val="Arial"/>
      <family val="2"/>
    </font>
    <font>
      <sz val="8"/>
      <name val="Arial"/>
      <family val="2"/>
    </font>
    <font>
      <b/>
      <sz val="10"/>
      <color indexed="56"/>
      <name val="Arial"/>
      <family val="2"/>
    </font>
    <font>
      <b/>
      <i/>
      <sz val="16"/>
      <name val="Arial"/>
      <family val="2"/>
    </font>
    <font>
      <b/>
      <sz val="14"/>
      <color indexed="10"/>
      <name val="Arial"/>
      <family val="2"/>
    </font>
    <font>
      <sz val="10"/>
      <color indexed="10"/>
      <name val="Arial"/>
      <family val="2"/>
    </font>
    <font>
      <sz val="10"/>
      <name val="CG Times"/>
      <family val="1"/>
    </font>
    <font>
      <b/>
      <sz val="12"/>
      <color indexed="20"/>
      <name val="Arial"/>
      <family val="2"/>
    </font>
    <font>
      <b/>
      <sz val="10"/>
      <color indexed="62"/>
      <name val="Arial"/>
      <family val="2"/>
    </font>
    <font>
      <sz val="10"/>
      <color indexed="8"/>
      <name val="Arial"/>
      <family val="2"/>
    </font>
    <font>
      <b/>
      <sz val="10"/>
      <color indexed="17"/>
      <name val="Arial"/>
      <family val="2"/>
    </font>
    <font>
      <sz val="11"/>
      <color theme="1"/>
      <name val="Arial"/>
      <family val="2"/>
    </font>
    <font>
      <sz val="11"/>
      <color indexed="10"/>
      <name val="Arial"/>
      <family val="2"/>
    </font>
    <font>
      <b/>
      <sz val="11"/>
      <color indexed="20"/>
      <name val="Arial"/>
      <family val="2"/>
    </font>
    <font>
      <sz val="11"/>
      <color indexed="20"/>
      <name val="Arial"/>
      <family val="2"/>
    </font>
    <font>
      <b/>
      <sz val="10"/>
      <color theme="0" tint="-0.34998626667073579"/>
      <name val="Arial"/>
      <family val="2"/>
    </font>
    <font>
      <sz val="10"/>
      <color theme="0" tint="-0.34998626667073579"/>
      <name val="Arial"/>
      <family val="2"/>
    </font>
    <font>
      <sz val="10"/>
      <color theme="0" tint="-0.34998626667073579"/>
      <name val="Albertus Xb (W1)"/>
      <family val="2"/>
    </font>
    <font>
      <sz val="12"/>
      <color theme="0" tint="-0.34998626667073579"/>
      <name val="Arial"/>
      <family val="2"/>
    </font>
    <font>
      <sz val="10"/>
      <color theme="0" tint="-0.34998626667073579"/>
      <name val="Arial Narrow"/>
      <family val="2"/>
    </font>
    <font>
      <sz val="10"/>
      <color theme="0" tint="-0.34998626667073579"/>
      <name val="Futura Lt BT"/>
      <family val="2"/>
    </font>
    <font>
      <b/>
      <sz val="12"/>
      <color theme="0" tint="-0.34998626667073579"/>
      <name val="Futura Lt BT"/>
      <family val="2"/>
    </font>
    <font>
      <b/>
      <sz val="10"/>
      <color theme="0" tint="-0.34998626667073579"/>
      <name val="Futura Lt BT"/>
      <family val="2"/>
    </font>
    <font>
      <sz val="12"/>
      <color theme="0" tint="-0.34998626667073579"/>
      <name val="Futura Lt BT"/>
      <family val="2"/>
    </font>
    <font>
      <b/>
      <sz val="16"/>
      <color theme="0" tint="-0.34998626667073579"/>
      <name val="Futura Lt BT"/>
      <family val="2"/>
    </font>
    <font>
      <b/>
      <sz val="14"/>
      <color theme="0" tint="-0.34998626667073579"/>
      <name val="Futura Lt BT"/>
      <family val="2"/>
    </font>
    <font>
      <b/>
      <sz val="9"/>
      <color theme="0" tint="-0.34998626667073579"/>
      <name val="Futura Lt BT"/>
      <family val="2"/>
    </font>
    <font>
      <sz val="8"/>
      <color theme="0" tint="-0.34998626667073579"/>
      <name val="Arial"/>
      <family val="2"/>
    </font>
    <font>
      <b/>
      <sz val="16"/>
      <color theme="0" tint="-0.34998626667073579"/>
      <name val="Arial Narrow"/>
      <family val="2"/>
    </font>
  </fonts>
  <fills count="42">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indexed="42"/>
        <bgColor indexed="64"/>
      </patternFill>
    </fill>
    <fill>
      <patternFill patternType="solid">
        <fgColor rgb="FFFFFF99"/>
        <bgColor indexed="64"/>
      </patternFill>
    </fill>
    <fill>
      <patternFill patternType="solid">
        <fgColor rgb="FFCCFFCC"/>
        <bgColor indexed="64"/>
      </patternFill>
    </fill>
    <fill>
      <patternFill patternType="solid">
        <fgColor indexed="47"/>
        <bgColor indexed="64"/>
      </patternFill>
    </fill>
    <fill>
      <patternFill patternType="solid">
        <fgColor theme="0" tint="-0.249977111117893"/>
        <bgColor indexed="64"/>
      </patternFill>
    </fill>
    <fill>
      <patternFill patternType="solid">
        <fgColor indexed="44"/>
        <bgColor indexed="64"/>
      </patternFill>
    </fill>
    <fill>
      <patternFill patternType="solid">
        <fgColor indexed="4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indexed="46"/>
        <bgColor indexed="64"/>
      </patternFill>
    </fill>
    <fill>
      <patternFill patternType="solid">
        <fgColor indexed="41"/>
        <bgColor indexed="64"/>
      </patternFill>
    </fill>
    <fill>
      <patternFill patternType="solid">
        <fgColor indexed="22"/>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rgb="FFFFFF00"/>
        <bgColor indexed="64"/>
      </patternFill>
    </fill>
    <fill>
      <patternFill patternType="solid">
        <fgColor indexed="50"/>
        <bgColor indexed="64"/>
      </patternFill>
    </fill>
    <fill>
      <patternFill patternType="solid">
        <fgColor rgb="FFFFCC99"/>
        <bgColor indexed="64"/>
      </patternFill>
    </fill>
    <fill>
      <patternFill patternType="solid">
        <fgColor indexed="43"/>
        <bgColor indexed="9"/>
      </patternFill>
    </fill>
    <fill>
      <patternFill patternType="solid">
        <fgColor indexed="65"/>
        <bgColor indexed="64"/>
      </patternFill>
    </fill>
    <fill>
      <patternFill patternType="solid">
        <fgColor theme="0"/>
        <bgColor indexed="9"/>
      </patternFill>
    </fill>
    <fill>
      <patternFill patternType="solid">
        <fgColor rgb="FFFFC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46"/>
        <bgColor indexed="9"/>
      </patternFill>
    </fill>
    <fill>
      <patternFill patternType="solid">
        <fgColor theme="9" tint="0.39997558519241921"/>
        <bgColor indexed="64"/>
      </patternFill>
    </fill>
    <fill>
      <patternFill patternType="solid">
        <fgColor indexed="47"/>
        <bgColor indexed="9"/>
      </patternFill>
    </fill>
    <fill>
      <patternFill patternType="solid">
        <fgColor theme="3" tint="0.79998168889431442"/>
        <bgColor indexed="64"/>
      </patternFill>
    </fill>
    <fill>
      <patternFill patternType="solid">
        <fgColor theme="7" tint="0.59999389629810485"/>
        <bgColor indexed="64"/>
      </patternFill>
    </fill>
    <fill>
      <patternFill patternType="solid">
        <fgColor rgb="FFCCECFF"/>
        <bgColor indexed="64"/>
      </patternFill>
    </fill>
    <fill>
      <patternFill patternType="solid">
        <fgColor indexed="63"/>
        <bgColor indexed="64"/>
      </patternFill>
    </fill>
    <fill>
      <patternFill patternType="solid">
        <fgColor theme="1"/>
        <bgColor indexed="64"/>
      </patternFill>
    </fill>
    <fill>
      <patternFill patternType="solid">
        <fgColor theme="1" tint="4.9989318521683403E-2"/>
        <bgColor indexed="64"/>
      </patternFill>
    </fill>
    <fill>
      <patternFill patternType="solid">
        <fgColor rgb="FFCCFFFF"/>
        <bgColor indexed="64"/>
      </patternFill>
    </fill>
    <fill>
      <patternFill patternType="solid">
        <fgColor theme="3" tint="0.59999389629810485"/>
        <bgColor indexed="64"/>
      </patternFill>
    </fill>
    <fill>
      <patternFill patternType="solid">
        <fgColor rgb="FF00B0F0"/>
        <bgColor indexed="64"/>
      </patternFill>
    </fill>
    <fill>
      <patternFill patternType="solid">
        <fgColor rgb="FFFFFFCC"/>
        <bgColor indexed="64"/>
      </patternFill>
    </fill>
    <fill>
      <patternFill patternType="solid">
        <fgColor theme="8" tint="0.59999389629810485"/>
        <bgColor indexed="64"/>
      </patternFill>
    </fill>
    <fill>
      <patternFill patternType="solid">
        <fgColor indexed="9"/>
        <bgColor indexed="64"/>
      </patternFill>
    </fill>
  </fills>
  <borders count="224">
    <border>
      <left/>
      <right/>
      <top/>
      <bottom/>
      <diagonal/>
    </border>
    <border>
      <left/>
      <right/>
      <top/>
      <bottom style="double">
        <color indexed="8"/>
      </bottom>
      <diagonal/>
    </border>
    <border>
      <left style="double">
        <color indexed="8"/>
      </left>
      <right/>
      <top style="double">
        <color indexed="8"/>
      </top>
      <bottom/>
      <diagonal/>
    </border>
    <border>
      <left/>
      <right/>
      <top style="double">
        <color indexed="8"/>
      </top>
      <bottom/>
      <diagonal/>
    </border>
    <border>
      <left/>
      <right style="thin">
        <color indexed="8"/>
      </right>
      <top style="double">
        <color indexed="8"/>
      </top>
      <bottom/>
      <diagonal/>
    </border>
    <border>
      <left style="thin">
        <color indexed="8"/>
      </left>
      <right style="thin">
        <color indexed="8"/>
      </right>
      <top style="double">
        <color indexed="8"/>
      </top>
      <bottom/>
      <diagonal/>
    </border>
    <border>
      <left style="thin">
        <color indexed="8"/>
      </left>
      <right/>
      <top style="double">
        <color indexed="8"/>
      </top>
      <bottom/>
      <diagonal/>
    </border>
    <border>
      <left style="thin">
        <color indexed="8"/>
      </left>
      <right style="double">
        <color indexed="8"/>
      </right>
      <top style="double">
        <color indexed="8"/>
      </top>
      <bottom/>
      <diagonal/>
    </border>
    <border>
      <left style="double">
        <color indexed="8"/>
      </left>
      <right/>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style="double">
        <color indexed="8"/>
      </right>
      <top/>
      <bottom/>
      <diagonal/>
    </border>
    <border>
      <left style="double">
        <color indexed="8"/>
      </left>
      <right/>
      <top/>
      <bottom style="double">
        <color indexed="8"/>
      </bottom>
      <diagonal/>
    </border>
    <border>
      <left/>
      <right style="thin">
        <color indexed="8"/>
      </right>
      <top/>
      <bottom style="double">
        <color indexed="64"/>
      </bottom>
      <diagonal/>
    </border>
    <border>
      <left style="thin">
        <color indexed="8"/>
      </left>
      <right style="thin">
        <color indexed="8"/>
      </right>
      <top/>
      <bottom style="double">
        <color indexed="8"/>
      </bottom>
      <diagonal/>
    </border>
    <border>
      <left style="thin">
        <color indexed="8"/>
      </left>
      <right/>
      <top/>
      <bottom style="double">
        <color indexed="8"/>
      </bottom>
      <diagonal/>
    </border>
    <border>
      <left/>
      <right style="thin">
        <color indexed="8"/>
      </right>
      <top/>
      <bottom style="double">
        <color indexed="8"/>
      </bottom>
      <diagonal/>
    </border>
    <border>
      <left style="thin">
        <color indexed="8"/>
      </left>
      <right style="double">
        <color indexed="8"/>
      </right>
      <top/>
      <bottom style="double">
        <color indexed="8"/>
      </bottom>
      <diagonal/>
    </border>
    <border>
      <left style="thin">
        <color indexed="8"/>
      </left>
      <right/>
      <top style="double">
        <color indexed="8"/>
      </top>
      <bottom style="medium">
        <color indexed="8"/>
      </bottom>
      <diagonal/>
    </border>
    <border>
      <left/>
      <right style="thin">
        <color indexed="8"/>
      </right>
      <top style="double">
        <color indexed="8"/>
      </top>
      <bottom style="medium">
        <color indexed="8"/>
      </bottom>
      <diagonal/>
    </border>
    <border>
      <left/>
      <right style="double">
        <color indexed="8"/>
      </right>
      <top/>
      <bottom/>
      <diagonal/>
    </border>
    <border>
      <left style="double">
        <color indexed="8"/>
      </left>
      <right/>
      <top style="medium">
        <color indexed="8"/>
      </top>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right style="double">
        <color indexed="8"/>
      </right>
      <top style="medium">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right style="double">
        <color indexed="8"/>
      </right>
      <top/>
      <bottom style="thin">
        <color indexed="8"/>
      </bottom>
      <diagonal/>
    </border>
    <border>
      <left style="double">
        <color indexed="8"/>
      </left>
      <right/>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right style="double">
        <color indexed="8"/>
      </right>
      <top style="thin">
        <color indexed="8"/>
      </top>
      <bottom style="medium">
        <color indexed="64"/>
      </bottom>
      <diagonal/>
    </border>
    <border>
      <left/>
      <right/>
      <top/>
      <bottom style="thin">
        <color indexed="8"/>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right/>
      <top/>
      <bottom style="medium">
        <color indexed="64"/>
      </bottom>
      <diagonal/>
    </border>
    <border>
      <left style="thin">
        <color indexed="8"/>
      </left>
      <right style="thin">
        <color indexed="8"/>
      </right>
      <top/>
      <bottom style="medium">
        <color indexed="64"/>
      </bottom>
      <diagonal/>
    </border>
    <border>
      <left/>
      <right style="double">
        <color indexed="8"/>
      </right>
      <top/>
      <bottom style="medium">
        <color indexed="64"/>
      </bottom>
      <diagonal/>
    </border>
    <border>
      <left style="double">
        <color indexed="8"/>
      </left>
      <right/>
      <top style="medium">
        <color indexed="64"/>
      </top>
      <bottom/>
      <diagonal/>
    </border>
    <border>
      <left style="double">
        <color indexed="8"/>
      </left>
      <right/>
      <top/>
      <bottom style="thin">
        <color indexed="8"/>
      </bottom>
      <diagonal/>
    </border>
    <border>
      <left style="double">
        <color indexed="8"/>
      </left>
      <right/>
      <top style="medium">
        <color indexed="64"/>
      </top>
      <bottom style="medium">
        <color indexed="64"/>
      </bottom>
      <diagonal/>
    </border>
    <border>
      <left/>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double">
        <color indexed="8"/>
      </right>
      <top/>
      <bottom style="medium">
        <color indexed="64"/>
      </bottom>
      <diagonal/>
    </border>
    <border>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double">
        <color indexed="8"/>
      </right>
      <top style="medium">
        <color indexed="64"/>
      </top>
      <bottom style="thin">
        <color indexed="8"/>
      </bottom>
      <diagonal/>
    </border>
    <border>
      <left/>
      <right style="thin">
        <color indexed="8"/>
      </right>
      <top style="thin">
        <color indexed="8"/>
      </top>
      <bottom style="thin">
        <color indexed="64"/>
      </bottom>
      <diagonal/>
    </border>
    <border>
      <left style="thin">
        <color indexed="8"/>
      </left>
      <right style="double">
        <color indexed="8"/>
      </right>
      <top/>
      <bottom style="thin">
        <color indexed="8"/>
      </bottom>
      <diagonal/>
    </border>
    <border>
      <left/>
      <right style="thin">
        <color indexed="8"/>
      </right>
      <top style="thin">
        <color indexed="64"/>
      </top>
      <bottom style="thin">
        <color indexed="64"/>
      </bottom>
      <diagonal/>
    </border>
    <border>
      <left/>
      <right/>
      <top/>
      <bottom style="thin">
        <color indexed="64"/>
      </bottom>
      <diagonal/>
    </border>
    <border>
      <left style="thin">
        <color indexed="8"/>
      </left>
      <right style="thin">
        <color indexed="8"/>
      </right>
      <top/>
      <bottom style="thin">
        <color indexed="64"/>
      </bottom>
      <diagonal/>
    </border>
    <border>
      <left style="thin">
        <color indexed="8"/>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64"/>
      </top>
      <bottom style="thin">
        <color indexed="64"/>
      </bottom>
      <diagonal/>
    </border>
    <border>
      <left/>
      <right/>
      <top style="thin">
        <color indexed="22"/>
      </top>
      <bottom/>
      <diagonal/>
    </border>
    <border>
      <left style="thin">
        <color indexed="8"/>
      </left>
      <right style="thin">
        <color indexed="8"/>
      </right>
      <top style="thin">
        <color indexed="22"/>
      </top>
      <bottom/>
      <diagonal/>
    </border>
    <border>
      <left style="thin">
        <color indexed="8"/>
      </left>
      <right/>
      <top style="thin">
        <color indexed="64"/>
      </top>
      <bottom style="thin">
        <color indexed="22"/>
      </bottom>
      <diagonal/>
    </border>
    <border>
      <left/>
      <right style="thin">
        <color indexed="8"/>
      </right>
      <top style="thin">
        <color indexed="64"/>
      </top>
      <bottom style="thin">
        <color indexed="22"/>
      </bottom>
      <diagonal/>
    </border>
    <border>
      <left style="thin">
        <color indexed="8"/>
      </left>
      <right style="double">
        <color indexed="8"/>
      </right>
      <top style="thin">
        <color indexed="22"/>
      </top>
      <bottom/>
      <diagonal/>
    </border>
    <border>
      <left style="thin">
        <color indexed="8"/>
      </left>
      <right/>
      <top style="thin">
        <color indexed="22"/>
      </top>
      <bottom style="thin">
        <color indexed="22"/>
      </bottom>
      <diagonal/>
    </border>
    <border>
      <left/>
      <right style="thin">
        <color indexed="8"/>
      </right>
      <top style="thin">
        <color indexed="22"/>
      </top>
      <bottom style="thin">
        <color indexed="22"/>
      </bottom>
      <diagonal/>
    </border>
    <border>
      <left/>
      <right/>
      <top style="thin">
        <color indexed="22"/>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double">
        <color indexed="8"/>
      </right>
      <top style="thin">
        <color indexed="22"/>
      </top>
      <bottom style="thin">
        <color indexed="22"/>
      </bottom>
      <diagonal/>
    </border>
    <border>
      <left style="thin">
        <color indexed="8"/>
      </left>
      <right/>
      <top style="thin">
        <color indexed="22"/>
      </top>
      <bottom style="medium">
        <color indexed="8"/>
      </bottom>
      <diagonal/>
    </border>
    <border>
      <left/>
      <right style="thin">
        <color indexed="8"/>
      </right>
      <top style="thin">
        <color indexed="22"/>
      </top>
      <bottom style="medium">
        <color indexed="8"/>
      </bottom>
      <diagonal/>
    </border>
    <border>
      <left/>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style="thin">
        <color indexed="8"/>
      </right>
      <top style="medium">
        <color indexed="8"/>
      </top>
      <bottom/>
      <diagonal/>
    </border>
    <border>
      <left style="thin">
        <color indexed="8"/>
      </left>
      <right style="double">
        <color indexed="8"/>
      </right>
      <top style="medium">
        <color indexed="8"/>
      </top>
      <bottom/>
      <diagonal/>
    </border>
    <border>
      <left style="thin">
        <color indexed="8"/>
      </left>
      <right/>
      <top/>
      <bottom style="medium">
        <color indexed="64"/>
      </bottom>
      <diagonal/>
    </border>
    <border>
      <left/>
      <right style="thin">
        <color indexed="8"/>
      </right>
      <top/>
      <bottom style="medium">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double">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22"/>
      </bottom>
      <diagonal/>
    </border>
    <border>
      <left style="thin">
        <color indexed="8"/>
      </left>
      <right style="thin">
        <color indexed="8"/>
      </right>
      <top/>
      <bottom style="thin">
        <color indexed="22"/>
      </bottom>
      <diagonal/>
    </border>
    <border>
      <left style="thin">
        <color indexed="8"/>
      </left>
      <right/>
      <top style="thin">
        <color indexed="8"/>
      </top>
      <bottom style="thin">
        <color indexed="22"/>
      </bottom>
      <diagonal/>
    </border>
    <border>
      <left/>
      <right style="thin">
        <color indexed="8"/>
      </right>
      <top style="thin">
        <color indexed="8"/>
      </top>
      <bottom style="thin">
        <color indexed="22"/>
      </bottom>
      <diagonal/>
    </border>
    <border>
      <left/>
      <right style="double">
        <color indexed="8"/>
      </right>
      <top/>
      <bottom style="thin">
        <color indexed="22"/>
      </bottom>
      <diagonal/>
    </border>
    <border>
      <left style="thin">
        <color indexed="8"/>
      </left>
      <right/>
      <top/>
      <bottom style="thin">
        <color indexed="64"/>
      </bottom>
      <diagonal/>
    </border>
    <border>
      <left/>
      <right style="thin">
        <color indexed="64"/>
      </right>
      <top style="thin">
        <color indexed="22"/>
      </top>
      <bottom style="thin">
        <color indexed="64"/>
      </bottom>
      <diagonal/>
    </border>
    <border>
      <left/>
      <right style="thin">
        <color indexed="8"/>
      </right>
      <top/>
      <bottom style="thin">
        <color indexed="64"/>
      </bottom>
      <diagonal/>
    </border>
    <border>
      <left/>
      <right style="double">
        <color indexed="8"/>
      </right>
      <top/>
      <bottom style="thin">
        <color indexed="64"/>
      </bottom>
      <diagonal/>
    </border>
    <border>
      <left/>
      <right/>
      <top style="thin">
        <color indexed="64"/>
      </top>
      <bottom style="thin">
        <color indexed="64"/>
      </bottom>
      <diagonal/>
    </border>
    <border>
      <left/>
      <right style="thin">
        <color indexed="64"/>
      </right>
      <top/>
      <bottom style="thin">
        <color indexed="8"/>
      </bottom>
      <diagonal/>
    </border>
    <border>
      <left style="thin">
        <color indexed="8"/>
      </left>
      <right/>
      <top/>
      <bottom style="thin">
        <color indexed="22"/>
      </bottom>
      <diagonal/>
    </border>
    <border>
      <left/>
      <right style="thin">
        <color indexed="64"/>
      </right>
      <top/>
      <bottom style="thin">
        <color indexed="22"/>
      </bottom>
      <diagonal/>
    </border>
    <border>
      <left/>
      <right style="thin">
        <color indexed="8"/>
      </right>
      <top/>
      <bottom style="thin">
        <color indexed="22"/>
      </bottom>
      <diagonal/>
    </border>
    <border>
      <left/>
      <right style="thin">
        <color indexed="64"/>
      </right>
      <top style="thin">
        <color indexed="22"/>
      </top>
      <bottom style="thin">
        <color indexed="22"/>
      </bottom>
      <diagonal/>
    </border>
    <border>
      <left/>
      <right style="double">
        <color indexed="8"/>
      </right>
      <top style="thin">
        <color indexed="22"/>
      </top>
      <bottom style="thin">
        <color indexed="22"/>
      </bottom>
      <diagonal/>
    </border>
    <border>
      <left style="thin">
        <color indexed="8"/>
      </left>
      <right style="thin">
        <color indexed="8"/>
      </right>
      <top style="thin">
        <color indexed="22"/>
      </top>
      <bottom style="thin">
        <color indexed="64"/>
      </bottom>
      <diagonal/>
    </border>
    <border>
      <left style="thin">
        <color indexed="8"/>
      </left>
      <right/>
      <top style="thin">
        <color indexed="22"/>
      </top>
      <bottom style="thin">
        <color indexed="64"/>
      </bottom>
      <diagonal/>
    </border>
    <border>
      <left/>
      <right style="thin">
        <color indexed="8"/>
      </right>
      <top style="thin">
        <color indexed="22"/>
      </top>
      <bottom style="thin">
        <color indexed="64"/>
      </bottom>
      <diagonal/>
    </border>
    <border>
      <left/>
      <right style="double">
        <color indexed="8"/>
      </right>
      <top style="thin">
        <color indexed="22"/>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double">
        <color indexed="8"/>
      </right>
      <top style="medium">
        <color indexed="64"/>
      </top>
      <bottom style="medium">
        <color indexed="64"/>
      </bottom>
      <diagonal/>
    </border>
    <border>
      <left/>
      <right style="thin">
        <color indexed="64"/>
      </right>
      <top/>
      <bottom/>
      <diagonal/>
    </border>
    <border>
      <left style="thin">
        <color indexed="8"/>
      </left>
      <right style="thin">
        <color indexed="8"/>
      </right>
      <top style="thin">
        <color indexed="64"/>
      </top>
      <bottom style="thin">
        <color indexed="64"/>
      </bottom>
      <diagonal/>
    </border>
    <border>
      <left/>
      <right style="thin">
        <color indexed="8"/>
      </right>
      <top style="thin">
        <color indexed="8"/>
      </top>
      <bottom/>
      <diagonal/>
    </border>
    <border>
      <left/>
      <right style="thin">
        <color indexed="64"/>
      </right>
      <top style="thin">
        <color indexed="8"/>
      </top>
      <bottom/>
      <diagonal/>
    </border>
    <border>
      <left style="thin">
        <color indexed="8"/>
      </left>
      <right style="double">
        <color indexed="8"/>
      </right>
      <top style="thin">
        <color indexed="8"/>
      </top>
      <bottom style="thin">
        <color indexed="8"/>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style="double">
        <color indexed="8"/>
      </right>
      <top style="thin">
        <color indexed="8"/>
      </top>
      <bottom style="thin">
        <color indexed="64"/>
      </bottom>
      <diagonal/>
    </border>
    <border>
      <left/>
      <right/>
      <top style="medium">
        <color indexed="64"/>
      </top>
      <bottom/>
      <diagonal/>
    </border>
    <border>
      <left/>
      <right style="thin">
        <color indexed="8"/>
      </right>
      <top style="medium">
        <color indexed="64"/>
      </top>
      <bottom/>
      <diagonal/>
    </border>
    <border>
      <left/>
      <right style="thin">
        <color indexed="64"/>
      </right>
      <top style="medium">
        <color indexed="8"/>
      </top>
      <bottom/>
      <diagonal/>
    </border>
    <border>
      <left/>
      <right style="double">
        <color indexed="8"/>
      </right>
      <top style="medium">
        <color indexed="8"/>
      </top>
      <bottom/>
      <diagonal/>
    </border>
    <border>
      <left style="double">
        <color indexed="8"/>
      </left>
      <right/>
      <top style="medium">
        <color indexed="8"/>
      </top>
      <bottom style="medium">
        <color indexed="8"/>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right style="thin">
        <color indexed="64"/>
      </right>
      <top style="medium">
        <color indexed="8"/>
      </top>
      <bottom style="medium">
        <color indexed="8"/>
      </bottom>
      <diagonal/>
    </border>
    <border>
      <left style="thin">
        <color indexed="64"/>
      </left>
      <right style="thin">
        <color indexed="8"/>
      </right>
      <top style="medium">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bottom style="double">
        <color indexed="8"/>
      </bottom>
      <diagonal/>
    </border>
    <border>
      <left/>
      <right style="thin">
        <color indexed="64"/>
      </right>
      <top/>
      <bottom style="double">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3"/>
      </right>
      <top/>
      <bottom style="thin">
        <color indexed="64"/>
      </bottom>
      <diagonal/>
    </border>
    <border>
      <left style="thin">
        <color indexed="63"/>
      </left>
      <right/>
      <top/>
      <bottom style="thin">
        <color indexed="64"/>
      </bottom>
      <diagonal/>
    </border>
    <border>
      <left style="thin">
        <color indexed="64"/>
      </left>
      <right style="thin">
        <color indexed="64"/>
      </right>
      <top/>
      <bottom style="thin">
        <color indexed="63"/>
      </bottom>
      <diagonal/>
    </border>
    <border>
      <left style="thin">
        <color indexed="63"/>
      </left>
      <right style="thin">
        <color indexed="63"/>
      </right>
      <top/>
      <bottom/>
      <diagonal/>
    </border>
    <border>
      <left style="thin">
        <color indexed="63"/>
      </left>
      <right/>
      <top/>
      <bottom/>
      <diagonal/>
    </border>
    <border>
      <left style="thin">
        <color indexed="63"/>
      </left>
      <right style="thin">
        <color indexed="63"/>
      </right>
      <top/>
      <bottom style="thin">
        <color indexed="63"/>
      </bottom>
      <diagonal/>
    </border>
    <border>
      <left style="thin">
        <color indexed="63"/>
      </left>
      <right/>
      <top/>
      <bottom style="thin">
        <color indexed="63"/>
      </bottom>
      <diagonal/>
    </border>
    <border>
      <left style="thin">
        <color indexed="63"/>
      </left>
      <right style="thin">
        <color indexed="63"/>
      </right>
      <top style="thin">
        <color indexed="63"/>
      </top>
      <bottom/>
      <diagonal/>
    </border>
    <border>
      <left style="thin">
        <color indexed="63"/>
      </left>
      <right/>
      <top style="thin">
        <color indexed="63"/>
      </top>
      <bottom/>
      <diagonal/>
    </border>
    <border>
      <left style="thin">
        <color indexed="64"/>
      </left>
      <right style="thin">
        <color indexed="64"/>
      </right>
      <top style="thin">
        <color indexed="63"/>
      </top>
      <bottom/>
      <diagonal/>
    </border>
    <border>
      <left style="thin">
        <color indexed="63"/>
      </left>
      <right style="thin">
        <color indexed="63"/>
      </right>
      <top style="thin">
        <color indexed="63"/>
      </top>
      <bottom style="double">
        <color indexed="64"/>
      </bottom>
      <diagonal/>
    </border>
    <border>
      <left style="thin">
        <color indexed="63"/>
      </left>
      <right style="thin">
        <color indexed="64"/>
      </right>
      <top style="thin">
        <color indexed="63"/>
      </top>
      <bottom style="double">
        <color indexed="64"/>
      </bottom>
      <diagonal/>
    </border>
    <border>
      <left style="thin">
        <color indexed="64"/>
      </left>
      <right style="thin">
        <color indexed="64"/>
      </right>
      <top style="thin">
        <color indexed="63"/>
      </top>
      <bottom style="double">
        <color indexed="64"/>
      </bottom>
      <diagonal/>
    </border>
    <border>
      <left/>
      <right style="thick">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3"/>
      </bottom>
      <diagonal/>
    </border>
    <border>
      <left style="thin">
        <color indexed="64"/>
      </left>
      <right style="thin">
        <color indexed="64"/>
      </right>
      <top/>
      <bottom style="double">
        <color indexed="64"/>
      </bottom>
      <diagonal/>
    </border>
    <border>
      <left/>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double">
        <color indexed="64"/>
      </bottom>
      <diagonal/>
    </border>
    <border>
      <left/>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style="thin">
        <color indexed="64"/>
      </left>
      <right/>
      <top style="thin">
        <color indexed="64"/>
      </top>
      <bottom/>
      <diagonal/>
    </border>
    <border>
      <left style="thin">
        <color indexed="64"/>
      </left>
      <right style="thin">
        <color indexed="63"/>
      </right>
      <top/>
      <bottom style="thin">
        <color indexed="22"/>
      </bottom>
      <diagonal/>
    </border>
    <border>
      <left style="thin">
        <color indexed="63"/>
      </left>
      <right style="thin">
        <color indexed="63"/>
      </right>
      <top/>
      <bottom style="thin">
        <color indexed="22"/>
      </bottom>
      <diagonal/>
    </border>
    <border>
      <left style="thin">
        <color indexed="63"/>
      </left>
      <right style="thin">
        <color indexed="64"/>
      </right>
      <top/>
      <bottom style="thin">
        <color indexed="22"/>
      </bottom>
      <diagonal/>
    </border>
    <border>
      <left/>
      <right style="thin">
        <color indexed="63"/>
      </right>
      <top/>
      <bottom style="thin">
        <color indexed="22"/>
      </bottom>
      <diagonal/>
    </border>
    <border>
      <left style="thin">
        <color indexed="64"/>
      </left>
      <right style="thin">
        <color indexed="63"/>
      </right>
      <top style="thin">
        <color indexed="22"/>
      </top>
      <bottom style="thin">
        <color indexed="22"/>
      </bottom>
      <diagonal/>
    </border>
    <border>
      <left style="thin">
        <color indexed="63"/>
      </left>
      <right style="thin">
        <color indexed="63"/>
      </right>
      <top style="thin">
        <color indexed="22"/>
      </top>
      <bottom style="thin">
        <color indexed="22"/>
      </bottom>
      <diagonal/>
    </border>
    <border>
      <left style="thin">
        <color indexed="63"/>
      </left>
      <right style="thin">
        <color indexed="64"/>
      </right>
      <top style="thin">
        <color indexed="22"/>
      </top>
      <bottom style="thin">
        <color indexed="22"/>
      </bottom>
      <diagonal/>
    </border>
    <border>
      <left style="thin">
        <color indexed="64"/>
      </left>
      <right style="thin">
        <color indexed="63"/>
      </right>
      <top style="thin">
        <color indexed="22"/>
      </top>
      <bottom style="thin">
        <color indexed="63"/>
      </bottom>
      <diagonal/>
    </border>
    <border>
      <left style="thin">
        <color indexed="63"/>
      </left>
      <right style="thin">
        <color indexed="63"/>
      </right>
      <top style="thin">
        <color indexed="22"/>
      </top>
      <bottom style="thin">
        <color indexed="63"/>
      </bottom>
      <diagonal/>
    </border>
    <border>
      <left style="thin">
        <color indexed="63"/>
      </left>
      <right style="thin">
        <color indexed="64"/>
      </right>
      <top style="thin">
        <color indexed="22"/>
      </top>
      <bottom style="thin">
        <color indexed="63"/>
      </bottom>
      <diagonal/>
    </border>
    <border>
      <left/>
      <right style="thin">
        <color indexed="63"/>
      </right>
      <top style="thin">
        <color indexed="22"/>
      </top>
      <bottom style="thin">
        <color indexed="64"/>
      </bottom>
      <diagonal/>
    </border>
    <border>
      <left style="thin">
        <color indexed="64"/>
      </left>
      <right style="thin">
        <color indexed="63"/>
      </right>
      <top style="thin">
        <color indexed="22"/>
      </top>
      <bottom/>
      <diagonal/>
    </border>
    <border>
      <left style="thin">
        <color indexed="63"/>
      </left>
      <right style="thin">
        <color indexed="63"/>
      </right>
      <top style="thin">
        <color indexed="22"/>
      </top>
      <bottom/>
      <diagonal/>
    </border>
    <border>
      <left style="thin">
        <color indexed="63"/>
      </left>
      <right style="thin">
        <color indexed="64"/>
      </right>
      <top style="thin">
        <color indexed="22"/>
      </top>
      <bottom/>
      <diagonal/>
    </border>
    <border>
      <left style="thin">
        <color indexed="64"/>
      </left>
      <right style="thin">
        <color indexed="63"/>
      </right>
      <top style="thin">
        <color indexed="63"/>
      </top>
      <bottom style="double">
        <color indexed="64"/>
      </bottom>
      <diagonal/>
    </border>
    <border>
      <left/>
      <right style="thin">
        <color indexed="63"/>
      </right>
      <top style="thin">
        <color indexed="63"/>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diagonal/>
    </border>
    <border>
      <left style="thin">
        <color indexed="64"/>
      </left>
      <right style="thin">
        <color indexed="63"/>
      </right>
      <top/>
      <bottom/>
      <diagonal/>
    </border>
    <border>
      <left style="thin">
        <color indexed="64"/>
      </left>
      <right style="thin">
        <color indexed="63"/>
      </right>
      <top/>
      <bottom style="thin">
        <color indexed="63"/>
      </bottom>
      <diagonal/>
    </border>
    <border>
      <left style="thin">
        <color indexed="64"/>
      </left>
      <right style="thin">
        <color indexed="63"/>
      </right>
      <top style="thin">
        <color indexed="64"/>
      </top>
      <bottom/>
      <diagonal/>
    </border>
    <border>
      <left style="thin">
        <color indexed="63"/>
      </left>
      <right style="thin">
        <color indexed="63"/>
      </right>
      <top style="thin">
        <color indexed="64"/>
      </top>
      <bottom/>
      <diagonal/>
    </border>
    <border>
      <left style="thin">
        <color indexed="63"/>
      </left>
      <right style="thin">
        <color indexed="64"/>
      </right>
      <top/>
      <bottom style="thin">
        <color indexed="64"/>
      </bottom>
      <diagonal/>
    </border>
    <border>
      <left style="thin">
        <color indexed="64"/>
      </left>
      <right style="thin">
        <color indexed="63"/>
      </right>
      <top style="thin">
        <color indexed="64"/>
      </top>
      <bottom style="double">
        <color indexed="63"/>
      </bottom>
      <diagonal/>
    </border>
    <border>
      <left style="thin">
        <color indexed="63"/>
      </left>
      <right/>
      <top style="thin">
        <color indexed="64"/>
      </top>
      <bottom style="double">
        <color indexed="63"/>
      </bottom>
      <diagonal/>
    </border>
    <border>
      <left style="thin">
        <color indexed="64"/>
      </left>
      <right style="thin">
        <color indexed="64"/>
      </right>
      <top style="thin">
        <color indexed="64"/>
      </top>
      <bottom style="double">
        <color indexed="63"/>
      </bottom>
      <diagonal/>
    </border>
    <border>
      <left style="thin">
        <color indexed="63"/>
      </left>
      <right style="thin">
        <color indexed="63"/>
      </right>
      <top/>
      <bottom style="thin">
        <color indexed="64"/>
      </bottom>
      <diagonal/>
    </border>
    <border>
      <left style="thin">
        <color indexed="63"/>
      </left>
      <right style="thin">
        <color indexed="64"/>
      </right>
      <top style="thin">
        <color indexed="64"/>
      </top>
      <bottom style="double">
        <color indexed="63"/>
      </bottom>
      <diagonal/>
    </border>
    <border>
      <left/>
      <right style="thin">
        <color indexed="64"/>
      </right>
      <top style="thin">
        <color indexed="64"/>
      </top>
      <bottom style="double">
        <color indexed="63"/>
      </bottom>
      <diagonal/>
    </border>
    <border>
      <left style="thin">
        <color indexed="64"/>
      </left>
      <right/>
      <top style="double">
        <color indexed="63"/>
      </top>
      <bottom style="thin">
        <color indexed="64"/>
      </bottom>
      <diagonal/>
    </border>
    <border>
      <left/>
      <right/>
      <top style="double">
        <color indexed="63"/>
      </top>
      <bottom style="thin">
        <color indexed="64"/>
      </bottom>
      <diagonal/>
    </border>
    <border>
      <left/>
      <right style="thin">
        <color indexed="64"/>
      </right>
      <top style="double">
        <color indexed="63"/>
      </top>
      <bottom style="thin">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3"/>
      </left>
      <right style="thin">
        <color indexed="64"/>
      </right>
      <top/>
      <bottom/>
      <diagonal/>
    </border>
    <border>
      <left/>
      <right style="thin">
        <color indexed="64"/>
      </right>
      <top style="thin">
        <color theme="0"/>
      </top>
      <bottom style="thin">
        <color theme="0"/>
      </bottom>
      <diagonal/>
    </border>
    <border>
      <left style="thin">
        <color indexed="63"/>
      </left>
      <right style="thin">
        <color indexed="64"/>
      </right>
      <top style="thin">
        <color theme="0"/>
      </top>
      <bottom/>
      <diagonal/>
    </border>
    <border>
      <left style="thin">
        <color indexed="64"/>
      </left>
      <right style="thin">
        <color indexed="63"/>
      </right>
      <top style="thin">
        <color indexed="63"/>
      </top>
      <bottom style="thin">
        <color indexed="64"/>
      </bottom>
      <diagonal/>
    </border>
    <border>
      <left style="thin">
        <color indexed="64"/>
      </left>
      <right style="thin">
        <color indexed="64"/>
      </right>
      <top style="thin">
        <color indexed="63"/>
      </top>
      <bottom style="thin">
        <color indexed="64"/>
      </bottom>
      <diagonal/>
    </border>
    <border>
      <left/>
      <right/>
      <top style="double">
        <color indexed="63"/>
      </top>
      <bottom/>
      <diagonal/>
    </border>
    <border>
      <left style="thin">
        <color indexed="63"/>
      </left>
      <right style="thin">
        <color indexed="63"/>
      </right>
      <top style="thin">
        <color indexed="64"/>
      </top>
      <bottom style="double">
        <color indexed="63"/>
      </bottom>
      <diagonal/>
    </border>
    <border>
      <left style="thin">
        <color indexed="63"/>
      </left>
      <right style="thin">
        <color indexed="63"/>
      </right>
      <top style="thin">
        <color indexed="63"/>
      </top>
      <bottom style="thin">
        <color indexed="64"/>
      </bottom>
      <diagonal/>
    </border>
  </borders>
  <cellStyleXfs count="14">
    <xf numFmtId="0" fontId="0" fillId="0" borderId="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02" fillId="0" borderId="0"/>
    <xf numFmtId="43" fontId="14" fillId="0" borderId="0" applyFont="0" applyFill="0" applyBorder="0" applyAlignment="0" applyProtection="0"/>
    <xf numFmtId="44" fontId="14" fillId="0" borderId="0" applyFont="0" applyFill="0" applyBorder="0" applyAlignment="0" applyProtection="0"/>
    <xf numFmtId="0" fontId="14" fillId="0" borderId="0"/>
  </cellStyleXfs>
  <cellXfs count="1906">
    <xf numFmtId="0" fontId="0" fillId="0" borderId="0" xfId="0"/>
    <xf numFmtId="0" fontId="5" fillId="0" borderId="2" xfId="0" applyFont="1" applyFill="1" applyBorder="1"/>
    <xf numFmtId="0" fontId="5" fillId="0" borderId="3" xfId="0" applyFont="1" applyFill="1" applyBorder="1"/>
    <xf numFmtId="0" fontId="6" fillId="0" borderId="4" xfId="0" applyFont="1" applyFill="1" applyBorder="1" applyAlignment="1">
      <alignment horizontal="center"/>
    </xf>
    <xf numFmtId="0" fontId="0" fillId="0" borderId="0" xfId="0" applyBorder="1"/>
    <xf numFmtId="0" fontId="5" fillId="0" borderId="8" xfId="0" applyFont="1" applyFill="1" applyBorder="1"/>
    <xf numFmtId="0" fontId="5" fillId="0" borderId="0" xfId="0" applyFont="1" applyFill="1" applyBorder="1"/>
    <xf numFmtId="0" fontId="9" fillId="0" borderId="0" xfId="0" applyFont="1" applyBorder="1"/>
    <xf numFmtId="0" fontId="11" fillId="0" borderId="11" xfId="0" applyFont="1" applyFill="1" applyBorder="1" applyAlignment="1">
      <alignment horizontal="center"/>
    </xf>
    <xf numFmtId="0" fontId="12" fillId="0" borderId="13" xfId="0" applyFont="1" applyFill="1" applyBorder="1"/>
    <xf numFmtId="0" fontId="12" fillId="0" borderId="1" xfId="0" applyFont="1" applyFill="1" applyBorder="1"/>
    <xf numFmtId="0" fontId="6" fillId="0" borderId="14" xfId="0" applyFont="1" applyFill="1" applyBorder="1" applyAlignment="1">
      <alignment horizontal="center"/>
    </xf>
    <xf numFmtId="0" fontId="5" fillId="0" borderId="8" xfId="0" applyFont="1" applyFill="1" applyBorder="1" applyAlignment="1">
      <alignment horizontal="center" vertical="top"/>
    </xf>
    <xf numFmtId="0" fontId="5" fillId="0" borderId="0" xfId="0" applyFont="1" applyFill="1" applyBorder="1" applyAlignment="1">
      <alignment horizontal="left" vertical="top"/>
    </xf>
    <xf numFmtId="0" fontId="5" fillId="0" borderId="11" xfId="0" applyFont="1" applyFill="1" applyBorder="1" applyAlignment="1">
      <alignment horizontal="left" vertical="top"/>
    </xf>
    <xf numFmtId="5" fontId="13" fillId="0" borderId="9" xfId="0" applyNumberFormat="1" applyFont="1" applyFill="1" applyBorder="1" applyAlignment="1" applyProtection="1">
      <alignment vertical="top"/>
    </xf>
    <xf numFmtId="5" fontId="13" fillId="0" borderId="19" xfId="0" applyNumberFormat="1" applyFont="1" applyFill="1" applyBorder="1" applyAlignment="1" applyProtection="1">
      <alignment vertical="top"/>
    </xf>
    <xf numFmtId="5" fontId="13" fillId="0" borderId="20" xfId="0" applyNumberFormat="1" applyFont="1" applyFill="1" applyBorder="1" applyAlignment="1" applyProtection="1">
      <alignment vertical="top"/>
    </xf>
    <xf numFmtId="10" fontId="13" fillId="0" borderId="21" xfId="0" applyNumberFormat="1" applyFont="1" applyFill="1" applyBorder="1" applyAlignment="1" applyProtection="1">
      <alignment vertical="top"/>
    </xf>
    <xf numFmtId="0" fontId="5" fillId="0" borderId="22" xfId="0" applyFont="1" applyFill="1" applyBorder="1" applyAlignment="1">
      <alignment horizontal="center" vertical="top"/>
    </xf>
    <xf numFmtId="37" fontId="13" fillId="0" borderId="25" xfId="0" applyNumberFormat="1" applyFont="1" applyFill="1" applyBorder="1" applyProtection="1"/>
    <xf numFmtId="164" fontId="13" fillId="0" borderId="26" xfId="1" applyNumberFormat="1" applyFont="1" applyFill="1" applyBorder="1" applyAlignment="1" applyProtection="1"/>
    <xf numFmtId="164" fontId="13" fillId="0" borderId="24" xfId="1" applyNumberFormat="1" applyFont="1" applyFill="1" applyBorder="1" applyAlignment="1" applyProtection="1"/>
    <xf numFmtId="164" fontId="13" fillId="0" borderId="25" xfId="1" applyNumberFormat="1" applyFont="1" applyFill="1" applyBorder="1" applyProtection="1"/>
    <xf numFmtId="10" fontId="13" fillId="0" borderId="27" xfId="0" applyNumberFormat="1" applyFont="1" applyFill="1" applyBorder="1" applyProtection="1"/>
    <xf numFmtId="0" fontId="5" fillId="0" borderId="8" xfId="0" applyFont="1" applyFill="1" applyBorder="1" applyAlignment="1">
      <alignment horizontal="center"/>
    </xf>
    <xf numFmtId="0" fontId="5" fillId="0" borderId="28" xfId="0" applyFont="1" applyFill="1" applyBorder="1" applyAlignment="1">
      <alignment horizontal="center"/>
    </xf>
    <xf numFmtId="0" fontId="5" fillId="0" borderId="29" xfId="0" applyFont="1" applyFill="1" applyBorder="1" applyAlignment="1">
      <alignment horizontal="left"/>
    </xf>
    <xf numFmtId="37" fontId="13" fillId="0" borderId="30" xfId="0" applyNumberFormat="1" applyFont="1" applyFill="1" applyBorder="1" applyProtection="1"/>
    <xf numFmtId="164" fontId="13" fillId="0" borderId="31" xfId="1" applyNumberFormat="1" applyFont="1" applyFill="1" applyBorder="1" applyAlignment="1" applyProtection="1"/>
    <xf numFmtId="164" fontId="13" fillId="0" borderId="29" xfId="1" applyNumberFormat="1" applyFont="1" applyFill="1" applyBorder="1" applyAlignment="1" applyProtection="1"/>
    <xf numFmtId="164" fontId="13" fillId="0" borderId="32" xfId="1" applyNumberFormat="1" applyFont="1" applyFill="1" applyBorder="1" applyProtection="1"/>
    <xf numFmtId="10" fontId="13" fillId="0" borderId="33" xfId="0" applyNumberFormat="1" applyFont="1" applyFill="1" applyBorder="1" applyProtection="1"/>
    <xf numFmtId="0" fontId="5" fillId="0" borderId="29" xfId="0" applyFont="1" applyFill="1" applyBorder="1" applyAlignment="1">
      <alignment horizontal="left" wrapText="1"/>
    </xf>
    <xf numFmtId="37" fontId="5" fillId="0" borderId="30" xfId="0" applyNumberFormat="1" applyFont="1" applyFill="1" applyBorder="1" applyProtection="1"/>
    <xf numFmtId="164" fontId="5" fillId="0" borderId="32" xfId="1" applyNumberFormat="1" applyFont="1" applyFill="1" applyBorder="1" applyProtection="1"/>
    <xf numFmtId="10" fontId="5" fillId="0" borderId="33" xfId="0" applyNumberFormat="1" applyFont="1" applyFill="1" applyBorder="1" applyProtection="1"/>
    <xf numFmtId="0" fontId="5" fillId="0" borderId="34" xfId="0" applyFont="1" applyFill="1" applyBorder="1" applyAlignment="1">
      <alignment horizontal="center"/>
    </xf>
    <xf numFmtId="0" fontId="5" fillId="0" borderId="35" xfId="0" applyFont="1" applyFill="1" applyBorder="1" applyAlignment="1">
      <alignment horizontal="center"/>
    </xf>
    <xf numFmtId="0" fontId="5" fillId="0" borderId="36" xfId="0" applyFont="1" applyFill="1" applyBorder="1" applyAlignment="1">
      <alignment horizontal="left"/>
    </xf>
    <xf numFmtId="37" fontId="13" fillId="0" borderId="37" xfId="0" applyNumberFormat="1" applyFont="1" applyFill="1" applyBorder="1" applyAlignment="1" applyProtection="1">
      <alignment horizontal="right"/>
    </xf>
    <xf numFmtId="164" fontId="13" fillId="0" borderId="38" xfId="1" applyNumberFormat="1" applyFont="1" applyFill="1" applyBorder="1" applyAlignment="1" applyProtection="1"/>
    <xf numFmtId="164" fontId="13" fillId="0" borderId="36" xfId="1" applyNumberFormat="1" applyFont="1" applyFill="1" applyBorder="1" applyAlignment="1" applyProtection="1"/>
    <xf numFmtId="164" fontId="13" fillId="0" borderId="37" xfId="1" applyNumberFormat="1" applyFont="1" applyFill="1" applyBorder="1" applyProtection="1"/>
    <xf numFmtId="10" fontId="13" fillId="0" borderId="39" xfId="0" applyNumberFormat="1" applyFont="1" applyFill="1" applyBorder="1" applyProtection="1"/>
    <xf numFmtId="0" fontId="5" fillId="0" borderId="40" xfId="0" applyFont="1" applyFill="1" applyBorder="1" applyAlignment="1">
      <alignment horizontal="left"/>
    </xf>
    <xf numFmtId="0" fontId="13" fillId="0" borderId="40" xfId="0" applyFont="1" applyFill="1" applyBorder="1"/>
    <xf numFmtId="5" fontId="13" fillId="0" borderId="32" xfId="0" applyNumberFormat="1" applyFont="1" applyFill="1" applyBorder="1" applyProtection="1"/>
    <xf numFmtId="5" fontId="13" fillId="0" borderId="41" xfId="0" applyNumberFormat="1" applyFont="1" applyFill="1" applyBorder="1" applyAlignment="1" applyProtection="1"/>
    <xf numFmtId="5" fontId="13" fillId="0" borderId="42" xfId="0" applyNumberFormat="1" applyFont="1" applyFill="1" applyBorder="1" applyAlignment="1" applyProtection="1"/>
    <xf numFmtId="0" fontId="6" fillId="0" borderId="40" xfId="0" applyFont="1" applyFill="1" applyBorder="1" applyAlignment="1">
      <alignment horizontal="center"/>
    </xf>
    <xf numFmtId="0" fontId="6" fillId="0" borderId="40" xfId="0" applyFont="1" applyFill="1" applyBorder="1" applyAlignment="1">
      <alignment horizontal="left"/>
    </xf>
    <xf numFmtId="5" fontId="6" fillId="0" borderId="32" xfId="0" applyNumberFormat="1" applyFont="1" applyFill="1" applyBorder="1" applyProtection="1"/>
    <xf numFmtId="5" fontId="6" fillId="0" borderId="31" xfId="0" applyNumberFormat="1" applyFont="1" applyFill="1" applyBorder="1" applyAlignment="1" applyProtection="1"/>
    <xf numFmtId="5" fontId="6" fillId="0" borderId="29" xfId="0" applyNumberFormat="1" applyFont="1" applyFill="1" applyBorder="1" applyAlignment="1" applyProtection="1"/>
    <xf numFmtId="10" fontId="6" fillId="0" borderId="33" xfId="0" applyNumberFormat="1" applyFont="1" applyFill="1" applyBorder="1" applyProtection="1"/>
    <xf numFmtId="0" fontId="5" fillId="0" borderId="43" xfId="0" applyFont="1" applyFill="1" applyBorder="1" applyAlignment="1">
      <alignment horizontal="center"/>
    </xf>
    <xf numFmtId="0" fontId="5" fillId="0" borderId="43" xfId="0" applyFont="1" applyFill="1" applyBorder="1" applyAlignment="1">
      <alignment horizontal="left"/>
    </xf>
    <xf numFmtId="5" fontId="13" fillId="0" borderId="44" xfId="0" applyNumberFormat="1" applyFont="1" applyFill="1" applyBorder="1" applyProtection="1"/>
    <xf numFmtId="5" fontId="13" fillId="0" borderId="38" xfId="0" applyNumberFormat="1" applyFont="1" applyFill="1" applyBorder="1" applyAlignment="1" applyProtection="1"/>
    <xf numFmtId="5" fontId="13" fillId="0" borderId="36" xfId="0" applyNumberFormat="1" applyFont="1" applyFill="1" applyBorder="1" applyAlignment="1" applyProtection="1"/>
    <xf numFmtId="10" fontId="13" fillId="0" borderId="45" xfId="0" applyNumberFormat="1" applyFont="1" applyFill="1" applyBorder="1" applyProtection="1"/>
    <xf numFmtId="0" fontId="5" fillId="0" borderId="46" xfId="0" applyFont="1" applyFill="1" applyBorder="1" applyAlignment="1">
      <alignment horizontal="center"/>
    </xf>
    <xf numFmtId="0" fontId="13" fillId="0" borderId="40" xfId="0" applyFont="1" applyFill="1" applyBorder="1" applyAlignment="1">
      <alignment horizontal="left"/>
    </xf>
    <xf numFmtId="0" fontId="5" fillId="0" borderId="40" xfId="0" applyFont="1" applyFill="1" applyBorder="1" applyAlignment="1">
      <alignment horizontal="center"/>
    </xf>
    <xf numFmtId="5" fontId="13" fillId="0" borderId="31" xfId="0" applyNumberFormat="1" applyFont="1" applyFill="1" applyBorder="1" applyAlignment="1" applyProtection="1"/>
    <xf numFmtId="5" fontId="13" fillId="0" borderId="29" xfId="0" applyNumberFormat="1" applyFont="1" applyFill="1" applyBorder="1" applyAlignment="1" applyProtection="1"/>
    <xf numFmtId="39" fontId="13" fillId="0" borderId="32" xfId="0" applyNumberFormat="1" applyFont="1" applyFill="1" applyBorder="1" applyAlignment="1" applyProtection="1">
      <alignment horizontal="right"/>
    </xf>
    <xf numFmtId="43" fontId="13" fillId="0" borderId="31" xfId="1" applyFont="1" applyFill="1" applyBorder="1" applyAlignment="1" applyProtection="1">
      <alignment horizontal="right"/>
    </xf>
    <xf numFmtId="43" fontId="13" fillId="0" borderId="29" xfId="1" applyFont="1" applyFill="1" applyBorder="1" applyAlignment="1" applyProtection="1"/>
    <xf numFmtId="43" fontId="13" fillId="0" borderId="32" xfId="1" applyFont="1" applyFill="1" applyBorder="1" applyProtection="1"/>
    <xf numFmtId="10" fontId="13" fillId="0" borderId="32" xfId="0" applyNumberFormat="1" applyFont="1" applyFill="1" applyBorder="1" applyAlignment="1" applyProtection="1">
      <alignment horizontal="right"/>
    </xf>
    <xf numFmtId="10" fontId="13" fillId="0" borderId="31" xfId="3" applyNumberFormat="1" applyFont="1" applyFill="1" applyBorder="1" applyAlignment="1" applyProtection="1">
      <alignment horizontal="right"/>
    </xf>
    <xf numFmtId="10" fontId="13" fillId="0" borderId="29" xfId="3" applyNumberFormat="1" applyFont="1" applyFill="1" applyBorder="1" applyAlignment="1" applyProtection="1"/>
    <xf numFmtId="10" fontId="13" fillId="0" borderId="32" xfId="3" applyNumberFormat="1" applyFont="1" applyFill="1" applyBorder="1" applyProtection="1"/>
    <xf numFmtId="0" fontId="5" fillId="0" borderId="35" xfId="0" applyFont="1" applyFill="1" applyBorder="1" applyAlignment="1">
      <alignment horizontal="left"/>
    </xf>
    <xf numFmtId="5" fontId="13" fillId="0" borderId="37" xfId="0" applyNumberFormat="1" applyFont="1" applyFill="1" applyBorder="1" applyProtection="1"/>
    <xf numFmtId="0" fontId="5" fillId="0" borderId="40" xfId="0" applyFont="1" applyFill="1" applyBorder="1"/>
    <xf numFmtId="0" fontId="5" fillId="0" borderId="47" xfId="0" applyFont="1" applyFill="1" applyBorder="1" applyAlignment="1">
      <alignment horizontal="center"/>
    </xf>
    <xf numFmtId="0" fontId="6" fillId="0" borderId="40" xfId="0" applyFont="1" applyFill="1" applyBorder="1"/>
    <xf numFmtId="5" fontId="6" fillId="0" borderId="38" xfId="0" applyNumberFormat="1" applyFont="1" applyFill="1" applyBorder="1" applyAlignment="1" applyProtection="1"/>
    <xf numFmtId="5" fontId="6" fillId="0" borderId="36" xfId="0" applyNumberFormat="1" applyFont="1" applyFill="1" applyBorder="1" applyAlignment="1" applyProtection="1"/>
    <xf numFmtId="0" fontId="6" fillId="0" borderId="48" xfId="0" applyFont="1" applyFill="1" applyBorder="1" applyAlignment="1">
      <alignment horizontal="center" vertical="center"/>
    </xf>
    <xf numFmtId="0" fontId="6" fillId="0" borderId="49" xfId="0" quotePrefix="1" applyFont="1" applyFill="1" applyBorder="1" applyAlignment="1">
      <alignment horizontal="left" vertical="center"/>
    </xf>
    <xf numFmtId="0" fontId="6" fillId="0" borderId="49" xfId="0" applyFont="1" applyFill="1" applyBorder="1" applyAlignment="1">
      <alignment horizontal="left" vertical="center"/>
    </xf>
    <xf numFmtId="5" fontId="6" fillId="0" borderId="50" xfId="0" applyNumberFormat="1" applyFont="1" applyFill="1" applyBorder="1" applyAlignment="1" applyProtection="1">
      <alignment vertical="center"/>
    </xf>
    <xf numFmtId="5" fontId="6" fillId="0" borderId="51" xfId="0" applyNumberFormat="1" applyFont="1" applyFill="1" applyBorder="1" applyAlignment="1" applyProtection="1">
      <alignment vertical="center"/>
    </xf>
    <xf numFmtId="5" fontId="6" fillId="0" borderId="52" xfId="0" applyNumberFormat="1" applyFont="1" applyFill="1" applyBorder="1" applyAlignment="1" applyProtection="1">
      <alignment vertical="center"/>
    </xf>
    <xf numFmtId="10" fontId="6" fillId="0" borderId="53" xfId="0" applyNumberFormat="1" applyFont="1" applyFill="1" applyBorder="1" applyProtection="1"/>
    <xf numFmtId="0" fontId="6" fillId="0" borderId="46" xfId="0" applyFont="1" applyFill="1" applyBorder="1" applyAlignment="1">
      <alignment horizontal="center" vertical="center"/>
    </xf>
    <xf numFmtId="5" fontId="6" fillId="0" borderId="55" xfId="0" applyNumberFormat="1" applyFont="1" applyFill="1" applyBorder="1" applyAlignment="1" applyProtection="1">
      <alignment vertical="center"/>
    </xf>
    <xf numFmtId="5" fontId="6" fillId="0" borderId="41" xfId="0" applyNumberFormat="1" applyFont="1" applyFill="1" applyBorder="1" applyAlignment="1" applyProtection="1">
      <alignment vertical="center"/>
    </xf>
    <xf numFmtId="5" fontId="6" fillId="0" borderId="42" xfId="0" applyNumberFormat="1" applyFont="1" applyFill="1" applyBorder="1" applyAlignment="1" applyProtection="1">
      <alignment vertical="center"/>
    </xf>
    <xf numFmtId="10" fontId="6" fillId="0" borderId="56" xfId="0" applyNumberFormat="1" applyFont="1" applyFill="1" applyBorder="1" applyProtection="1"/>
    <xf numFmtId="0" fontId="5" fillId="0" borderId="8" xfId="0" applyFont="1" applyFill="1" applyBorder="1" applyAlignment="1">
      <alignment horizontal="center" vertical="center"/>
    </xf>
    <xf numFmtId="0" fontId="5" fillId="0" borderId="28" xfId="0" quotePrefix="1" applyFont="1" applyFill="1" applyBorder="1" applyAlignment="1">
      <alignment horizontal="center" vertical="center" wrapText="1"/>
    </xf>
    <xf numFmtId="0" fontId="5" fillId="0" borderId="57" xfId="0" applyFont="1" applyFill="1" applyBorder="1" applyAlignment="1">
      <alignment horizontal="left" vertical="center" wrapText="1"/>
    </xf>
    <xf numFmtId="5" fontId="13" fillId="0" borderId="30" xfId="0" applyNumberFormat="1" applyFont="1" applyFill="1" applyBorder="1" applyAlignment="1" applyProtection="1">
      <alignment vertical="center"/>
    </xf>
    <xf numFmtId="5" fontId="13" fillId="0" borderId="31" xfId="0" applyNumberFormat="1" applyFont="1" applyFill="1" applyBorder="1" applyAlignment="1" applyProtection="1">
      <alignment vertical="center"/>
    </xf>
    <xf numFmtId="5" fontId="13" fillId="0" borderId="29" xfId="0" applyNumberFormat="1" applyFont="1" applyFill="1" applyBorder="1" applyAlignment="1" applyProtection="1">
      <alignment vertical="center"/>
    </xf>
    <xf numFmtId="10" fontId="13" fillId="0" borderId="58" xfId="0" applyNumberFormat="1" applyFont="1" applyFill="1" applyBorder="1" applyProtection="1"/>
    <xf numFmtId="0" fontId="5" fillId="0" borderId="59" xfId="0" applyFont="1" applyFill="1" applyBorder="1" applyAlignment="1">
      <alignment horizontal="left" vertical="center" wrapText="1"/>
    </xf>
    <xf numFmtId="0" fontId="5" fillId="0" borderId="60" xfId="0" applyFont="1" applyFill="1" applyBorder="1" applyAlignment="1">
      <alignment horizontal="left" vertical="center" wrapText="1"/>
    </xf>
    <xf numFmtId="5" fontId="13" fillId="0" borderId="61" xfId="0" applyNumberFormat="1" applyFont="1" applyFill="1" applyBorder="1" applyAlignment="1" applyProtection="1">
      <alignment vertical="center"/>
    </xf>
    <xf numFmtId="5" fontId="13" fillId="0" borderId="62" xfId="0" applyNumberFormat="1" applyFont="1" applyFill="1" applyBorder="1" applyAlignment="1" applyProtection="1">
      <alignment vertical="center"/>
    </xf>
    <xf numFmtId="5" fontId="13" fillId="0" borderId="57" xfId="0" applyNumberFormat="1" applyFont="1" applyFill="1" applyBorder="1" applyAlignment="1" applyProtection="1">
      <alignment vertical="center"/>
    </xf>
    <xf numFmtId="5" fontId="13" fillId="0" borderId="63" xfId="0" applyNumberFormat="1" applyFont="1" applyFill="1" applyBorder="1" applyAlignment="1" applyProtection="1">
      <alignment vertical="center"/>
    </xf>
    <xf numFmtId="5" fontId="13" fillId="0" borderId="64" xfId="0" applyNumberFormat="1" applyFont="1" applyFill="1" applyBorder="1" applyAlignment="1" applyProtection="1">
      <alignment vertical="center"/>
    </xf>
    <xf numFmtId="5" fontId="13" fillId="0" borderId="59" xfId="0" applyNumberFormat="1" applyFont="1" applyFill="1" applyBorder="1" applyAlignment="1" applyProtection="1">
      <alignment vertical="center"/>
    </xf>
    <xf numFmtId="0" fontId="5" fillId="0" borderId="0" xfId="0" quotePrefix="1" applyFont="1" applyFill="1" applyBorder="1" applyAlignment="1">
      <alignment horizontal="center" vertical="center" wrapText="1"/>
    </xf>
    <xf numFmtId="0" fontId="5" fillId="0" borderId="65" xfId="0" applyFont="1" applyFill="1" applyBorder="1" applyAlignment="1">
      <alignment horizontal="left" vertical="center" wrapText="1"/>
    </xf>
    <xf numFmtId="5" fontId="13" fillId="0" borderId="66" xfId="0" applyNumberFormat="1" applyFont="1" applyFill="1" applyBorder="1" applyAlignment="1" applyProtection="1">
      <alignment vertical="center"/>
    </xf>
    <xf numFmtId="5" fontId="13" fillId="0" borderId="67" xfId="0" applyNumberFormat="1" applyFont="1" applyFill="1" applyBorder="1" applyAlignment="1" applyProtection="1">
      <alignment vertical="center"/>
    </xf>
    <xf numFmtId="5" fontId="13" fillId="0" borderId="68" xfId="0" applyNumberFormat="1" applyFont="1" applyFill="1" applyBorder="1" applyAlignment="1" applyProtection="1">
      <alignment vertical="center"/>
    </xf>
    <xf numFmtId="10" fontId="13" fillId="0" borderId="69" xfId="0" applyNumberFormat="1" applyFont="1" applyFill="1" applyBorder="1" applyProtection="1"/>
    <xf numFmtId="5" fontId="13" fillId="0" borderId="70" xfId="0" applyNumberFormat="1" applyFont="1" applyFill="1" applyBorder="1" applyAlignment="1" applyProtection="1">
      <alignment vertical="center"/>
    </xf>
    <xf numFmtId="5" fontId="13" fillId="0" borderId="71" xfId="0" applyNumberFormat="1" applyFont="1" applyFill="1" applyBorder="1" applyAlignment="1" applyProtection="1">
      <alignment vertical="center"/>
    </xf>
    <xf numFmtId="0" fontId="5" fillId="0" borderId="72" xfId="0" applyFont="1" applyFill="1" applyBorder="1" applyAlignment="1">
      <alignment horizontal="left" vertical="center" wrapText="1"/>
    </xf>
    <xf numFmtId="5" fontId="13" fillId="0" borderId="73" xfId="0" applyNumberFormat="1" applyFont="1" applyFill="1" applyBorder="1" applyAlignment="1" applyProtection="1">
      <alignment vertical="center"/>
    </xf>
    <xf numFmtId="10" fontId="13" fillId="0" borderId="74" xfId="0" applyNumberFormat="1" applyFont="1" applyFill="1" applyBorder="1" applyProtection="1"/>
    <xf numFmtId="0" fontId="5" fillId="0" borderId="40" xfId="0" quotePrefix="1" applyFont="1" applyFill="1" applyBorder="1" applyAlignment="1">
      <alignment horizontal="center" vertical="center" wrapText="1"/>
    </xf>
    <xf numFmtId="5" fontId="13" fillId="0" borderId="75" xfId="0" applyNumberFormat="1" applyFont="1" applyFill="1" applyBorder="1" applyAlignment="1" applyProtection="1">
      <alignment vertical="center"/>
    </xf>
    <xf numFmtId="5" fontId="13" fillId="0" borderId="76" xfId="0" applyNumberFormat="1" applyFont="1" applyFill="1" applyBorder="1" applyAlignment="1" applyProtection="1">
      <alignment vertical="center"/>
    </xf>
    <xf numFmtId="0" fontId="6" fillId="2" borderId="22" xfId="0" applyFont="1" applyFill="1" applyBorder="1" applyAlignment="1">
      <alignment horizontal="center"/>
    </xf>
    <xf numFmtId="0" fontId="6" fillId="2" borderId="77" xfId="0" applyFont="1" applyFill="1" applyBorder="1" applyAlignment="1">
      <alignment horizontal="left"/>
    </xf>
    <xf numFmtId="0" fontId="8" fillId="2" borderId="77" xfId="0" applyFont="1" applyFill="1" applyBorder="1"/>
    <xf numFmtId="5" fontId="6" fillId="2" borderId="78" xfId="0" applyNumberFormat="1" applyFont="1" applyFill="1" applyBorder="1" applyProtection="1"/>
    <xf numFmtId="5" fontId="6" fillId="2" borderId="79" xfId="0" applyNumberFormat="1" applyFont="1" applyFill="1" applyBorder="1" applyAlignment="1" applyProtection="1"/>
    <xf numFmtId="5" fontId="6" fillId="2" borderId="80" xfId="0" applyNumberFormat="1" applyFont="1" applyFill="1" applyBorder="1" applyAlignment="1" applyProtection="1"/>
    <xf numFmtId="10" fontId="8" fillId="2" borderId="81" xfId="0" applyNumberFormat="1" applyFont="1" applyFill="1" applyBorder="1" applyProtection="1"/>
    <xf numFmtId="0" fontId="8" fillId="2" borderId="34" xfId="0" applyFont="1" applyFill="1" applyBorder="1"/>
    <xf numFmtId="0" fontId="6" fillId="2" borderId="43" xfId="0" applyFont="1" applyFill="1" applyBorder="1" applyAlignment="1">
      <alignment horizontal="left"/>
    </xf>
    <xf numFmtId="0" fontId="8" fillId="2" borderId="43" xfId="0" applyFont="1" applyFill="1" applyBorder="1"/>
    <xf numFmtId="5" fontId="6" fillId="2" borderId="44" xfId="0" applyNumberFormat="1" applyFont="1" applyFill="1" applyBorder="1" applyProtection="1"/>
    <xf numFmtId="5" fontId="6" fillId="2" borderId="82" xfId="0" applyNumberFormat="1" applyFont="1" applyFill="1" applyBorder="1" applyAlignment="1" applyProtection="1"/>
    <xf numFmtId="5" fontId="6" fillId="2" borderId="83" xfId="0" applyNumberFormat="1" applyFont="1" applyFill="1" applyBorder="1" applyAlignment="1" applyProtection="1"/>
    <xf numFmtId="10" fontId="8" fillId="2" borderId="53" xfId="0" applyNumberFormat="1" applyFont="1" applyFill="1" applyBorder="1" applyProtection="1"/>
    <xf numFmtId="0" fontId="6" fillId="0" borderId="8" xfId="0" quotePrefix="1" applyFont="1" applyFill="1" applyBorder="1" applyAlignment="1">
      <alignment horizontal="center"/>
    </xf>
    <xf numFmtId="5" fontId="6" fillId="0" borderId="84" xfId="0" applyNumberFormat="1" applyFont="1" applyFill="1" applyBorder="1" applyProtection="1"/>
    <xf numFmtId="5" fontId="6" fillId="0" borderId="0" xfId="0" applyNumberFormat="1" applyFont="1" applyFill="1" applyBorder="1" applyProtection="1"/>
    <xf numFmtId="10" fontId="8" fillId="0" borderId="87" xfId="0" applyNumberFormat="1" applyFont="1" applyFill="1" applyBorder="1" applyProtection="1"/>
    <xf numFmtId="0" fontId="0" fillId="0" borderId="8" xfId="0" applyBorder="1"/>
    <xf numFmtId="0" fontId="6" fillId="0" borderId="60" xfId="0" applyFont="1" applyFill="1" applyBorder="1" applyAlignment="1">
      <alignment horizontal="left"/>
    </xf>
    <xf numFmtId="5" fontId="6" fillId="0" borderId="88" xfId="0" applyNumberFormat="1" applyFont="1" applyFill="1" applyBorder="1" applyAlignment="1" applyProtection="1"/>
    <xf numFmtId="5" fontId="6" fillId="0" borderId="89" xfId="0" applyNumberFormat="1" applyFont="1" applyFill="1" applyBorder="1" applyAlignment="1" applyProtection="1"/>
    <xf numFmtId="0" fontId="13" fillId="0" borderId="8" xfId="0" applyFont="1" applyFill="1" applyBorder="1"/>
    <xf numFmtId="0" fontId="5" fillId="0" borderId="90" xfId="0" quotePrefix="1" applyFont="1" applyFill="1" applyBorder="1" applyAlignment="1">
      <alignment horizontal="center"/>
    </xf>
    <xf numFmtId="0" fontId="5" fillId="0" borderId="90" xfId="0" applyFont="1" applyFill="1" applyBorder="1" applyAlignment="1">
      <alignment horizontal="left"/>
    </xf>
    <xf numFmtId="5" fontId="13" fillId="0" borderId="91" xfId="0" applyNumberFormat="1" applyFont="1" applyFill="1" applyBorder="1" applyProtection="1"/>
    <xf numFmtId="5" fontId="13" fillId="0" borderId="92" xfId="0" applyNumberFormat="1" applyFont="1" applyFill="1" applyBorder="1" applyAlignment="1" applyProtection="1"/>
    <xf numFmtId="5" fontId="13" fillId="0" borderId="93" xfId="0" applyNumberFormat="1" applyFont="1" applyFill="1" applyBorder="1" applyAlignment="1" applyProtection="1"/>
    <xf numFmtId="10" fontId="13" fillId="0" borderId="94" xfId="0" applyNumberFormat="1" applyFont="1" applyFill="1" applyBorder="1" applyProtection="1"/>
    <xf numFmtId="0" fontId="5" fillId="0" borderId="0" xfId="0" quotePrefix="1" applyFont="1" applyFill="1" applyBorder="1" applyAlignment="1">
      <alignment horizontal="center"/>
    </xf>
    <xf numFmtId="0" fontId="5" fillId="0" borderId="0" xfId="0" applyFont="1" applyFill="1" applyBorder="1" applyAlignment="1">
      <alignment horizontal="left"/>
    </xf>
    <xf numFmtId="5" fontId="13" fillId="0" borderId="61" xfId="0" applyNumberFormat="1" applyFont="1" applyFill="1" applyBorder="1" applyProtection="1"/>
    <xf numFmtId="5" fontId="13" fillId="0" borderId="95" xfId="0" applyNumberFormat="1" applyFont="1" applyFill="1" applyBorder="1" applyProtection="1"/>
    <xf numFmtId="5" fontId="13" fillId="0" borderId="96" xfId="0" applyNumberFormat="1" applyFont="1" applyFill="1" applyBorder="1" applyProtection="1"/>
    <xf numFmtId="5" fontId="13" fillId="0" borderId="97" xfId="0" applyNumberFormat="1" applyFont="1" applyFill="1" applyBorder="1" applyProtection="1"/>
    <xf numFmtId="10" fontId="13" fillId="0" borderId="98" xfId="0" applyNumberFormat="1" applyFont="1" applyFill="1" applyBorder="1" applyProtection="1"/>
    <xf numFmtId="0" fontId="6" fillId="0" borderId="99" xfId="0" applyFont="1" applyFill="1" applyBorder="1" applyAlignment="1">
      <alignment horizontal="left"/>
    </xf>
    <xf numFmtId="0" fontId="5" fillId="0" borderId="99" xfId="0" applyFont="1" applyFill="1" applyBorder="1" applyAlignment="1">
      <alignment horizontal="left"/>
    </xf>
    <xf numFmtId="5" fontId="6" fillId="0" borderId="88" xfId="0" applyNumberFormat="1" applyFont="1" applyFill="1" applyBorder="1" applyProtection="1"/>
    <xf numFmtId="5" fontId="6" fillId="0" borderId="100" xfId="0" applyNumberFormat="1" applyFont="1" applyFill="1" applyBorder="1" applyProtection="1"/>
    <xf numFmtId="5" fontId="6" fillId="0" borderId="89" xfId="0" applyNumberFormat="1" applyFont="1" applyFill="1" applyBorder="1" applyProtection="1"/>
    <xf numFmtId="5" fontId="13" fillId="0" borderId="101" xfId="0" applyNumberFormat="1" applyFont="1" applyFill="1" applyBorder="1" applyProtection="1"/>
    <xf numFmtId="5" fontId="13" fillId="0" borderId="102" xfId="0" applyNumberFormat="1" applyFont="1" applyFill="1" applyBorder="1" applyProtection="1"/>
    <xf numFmtId="5" fontId="13" fillId="0" borderId="103" xfId="0" applyNumberFormat="1" applyFont="1" applyFill="1" applyBorder="1" applyProtection="1"/>
    <xf numFmtId="0" fontId="5" fillId="0" borderId="72" xfId="0" quotePrefix="1" applyFont="1" applyFill="1" applyBorder="1" applyAlignment="1">
      <alignment horizontal="center"/>
    </xf>
    <xf numFmtId="0" fontId="5" fillId="0" borderId="72" xfId="0" applyFont="1" applyFill="1" applyBorder="1" applyAlignment="1">
      <alignment horizontal="left"/>
    </xf>
    <xf numFmtId="5" fontId="13" fillId="0" borderId="73" xfId="0" applyNumberFormat="1" applyFont="1" applyFill="1" applyBorder="1" applyProtection="1"/>
    <xf numFmtId="5" fontId="13" fillId="0" borderId="70" xfId="0" applyNumberFormat="1" applyFont="1" applyFill="1" applyBorder="1" applyProtection="1"/>
    <xf numFmtId="5" fontId="13" fillId="0" borderId="104" xfId="0" applyNumberFormat="1" applyFont="1" applyFill="1" applyBorder="1" applyProtection="1"/>
    <xf numFmtId="5" fontId="13" fillId="0" borderId="71" xfId="0" applyNumberFormat="1" applyFont="1" applyFill="1" applyBorder="1" applyProtection="1"/>
    <xf numFmtId="10" fontId="13" fillId="0" borderId="105" xfId="0" applyNumberFormat="1" applyFont="1" applyFill="1" applyBorder="1" applyProtection="1"/>
    <xf numFmtId="5" fontId="13" fillId="0" borderId="106" xfId="0" applyNumberFormat="1" applyFont="1" applyFill="1" applyBorder="1" applyProtection="1"/>
    <xf numFmtId="5" fontId="13" fillId="0" borderId="107" xfId="0" applyNumberFormat="1" applyFont="1" applyFill="1" applyBorder="1" applyProtection="1"/>
    <xf numFmtId="5" fontId="13" fillId="0" borderId="108" xfId="0" applyNumberFormat="1" applyFont="1" applyFill="1" applyBorder="1" applyProtection="1"/>
    <xf numFmtId="10" fontId="13" fillId="0" borderId="109" xfId="0" applyNumberFormat="1" applyFont="1" applyFill="1" applyBorder="1" applyProtection="1"/>
    <xf numFmtId="0" fontId="6" fillId="0" borderId="8" xfId="0" applyFont="1" applyFill="1" applyBorder="1" applyAlignment="1">
      <alignment horizontal="center"/>
    </xf>
    <xf numFmtId="5" fontId="6" fillId="0" borderId="95" xfId="0" applyNumberFormat="1" applyFont="1" applyFill="1" applyBorder="1" applyProtection="1"/>
    <xf numFmtId="5" fontId="6" fillId="0" borderId="110" xfId="0" applyNumberFormat="1" applyFont="1" applyFill="1" applyBorder="1" applyProtection="1"/>
    <xf numFmtId="5" fontId="6" fillId="0" borderId="64" xfId="0" applyNumberFormat="1" applyFont="1" applyFill="1" applyBorder="1" applyProtection="1"/>
    <xf numFmtId="0" fontId="6" fillId="2" borderId="48" xfId="0" applyFont="1" applyFill="1" applyBorder="1" applyAlignment="1">
      <alignment horizontal="center" vertical="center"/>
    </xf>
    <xf numFmtId="0" fontId="6" fillId="2" borderId="49" xfId="0" quotePrefix="1" applyFont="1" applyFill="1" applyBorder="1" applyAlignment="1">
      <alignment horizontal="left" vertical="center"/>
    </xf>
    <xf numFmtId="0" fontId="6" fillId="2" borderId="49" xfId="0" applyFont="1" applyFill="1" applyBorder="1" applyAlignment="1">
      <alignment horizontal="left" vertical="center"/>
    </xf>
    <xf numFmtId="5" fontId="6" fillId="2" borderId="50" xfId="0" applyNumberFormat="1" applyFont="1" applyFill="1" applyBorder="1" applyAlignment="1" applyProtection="1">
      <alignment vertical="center"/>
    </xf>
    <xf numFmtId="5" fontId="6" fillId="2" borderId="51" xfId="0" applyNumberFormat="1" applyFont="1" applyFill="1" applyBorder="1" applyAlignment="1" applyProtection="1">
      <alignment vertical="center"/>
    </xf>
    <xf numFmtId="5" fontId="6" fillId="2" borderId="111" xfId="0" applyNumberFormat="1" applyFont="1" applyFill="1" applyBorder="1" applyAlignment="1" applyProtection="1">
      <alignment vertical="center"/>
    </xf>
    <xf numFmtId="5" fontId="6" fillId="2" borderId="52" xfId="0" applyNumberFormat="1" applyFont="1" applyFill="1" applyBorder="1" applyAlignment="1" applyProtection="1">
      <alignment vertical="center"/>
    </xf>
    <xf numFmtId="10" fontId="6" fillId="2" borderId="112" xfId="0" applyNumberFormat="1" applyFont="1" applyFill="1" applyBorder="1" applyAlignment="1" applyProtection="1">
      <alignment vertical="center"/>
    </xf>
    <xf numFmtId="10" fontId="8" fillId="0" borderId="33" xfId="0" applyNumberFormat="1" applyFont="1" applyFill="1" applyBorder="1" applyProtection="1"/>
    <xf numFmtId="5" fontId="13" fillId="0" borderId="88" xfId="0" applyNumberFormat="1" applyFont="1" applyFill="1" applyBorder="1" applyProtection="1"/>
    <xf numFmtId="5" fontId="13" fillId="0" borderId="100" xfId="0" applyNumberFormat="1" applyFont="1" applyFill="1" applyBorder="1" applyProtection="1"/>
    <xf numFmtId="5" fontId="13" fillId="0" borderId="89" xfId="0" applyNumberFormat="1" applyFont="1" applyFill="1" applyBorder="1" applyProtection="1"/>
    <xf numFmtId="0" fontId="5" fillId="0" borderId="40" xfId="0" quotePrefix="1" applyFont="1" applyFill="1" applyBorder="1" applyAlignment="1">
      <alignment horizontal="center"/>
    </xf>
    <xf numFmtId="0" fontId="5" fillId="0" borderId="0" xfId="0" applyFont="1" applyFill="1" applyBorder="1" applyAlignment="1">
      <alignment horizontal="left" wrapText="1"/>
    </xf>
    <xf numFmtId="5" fontId="13" fillId="0" borderId="9" xfId="0" applyNumberFormat="1" applyFont="1" applyFill="1" applyBorder="1" applyProtection="1"/>
    <xf numFmtId="5" fontId="13" fillId="0" borderId="10" xfId="0" applyNumberFormat="1" applyFont="1" applyFill="1" applyBorder="1" applyProtection="1"/>
    <xf numFmtId="5" fontId="13" fillId="0" borderId="113" xfId="0" applyNumberFormat="1" applyFont="1" applyFill="1" applyBorder="1" applyProtection="1"/>
    <xf numFmtId="0" fontId="5" fillId="0" borderId="59" xfId="0" applyFont="1" applyFill="1" applyBorder="1" applyAlignment="1">
      <alignment horizontal="left" wrapText="1"/>
    </xf>
    <xf numFmtId="5" fontId="13" fillId="0" borderId="114" xfId="0" applyNumberFormat="1" applyFont="1" applyFill="1" applyBorder="1" applyProtection="1"/>
    <xf numFmtId="5" fontId="13" fillId="0" borderId="64" xfId="0" applyNumberFormat="1" applyFont="1" applyFill="1" applyBorder="1" applyProtection="1"/>
    <xf numFmtId="0" fontId="5" fillId="0" borderId="28" xfId="0" quotePrefix="1" applyFont="1" applyFill="1" applyBorder="1" applyAlignment="1">
      <alignment horizontal="center"/>
    </xf>
    <xf numFmtId="0" fontId="5" fillId="0" borderId="115" xfId="0" applyFont="1" applyFill="1" applyBorder="1" applyAlignment="1">
      <alignment horizontal="left"/>
    </xf>
    <xf numFmtId="5" fontId="13" fillId="0" borderId="63" xfId="0" applyNumberFormat="1" applyFont="1" applyFill="1" applyBorder="1" applyAlignment="1" applyProtection="1"/>
    <xf numFmtId="5" fontId="13" fillId="0" borderId="62" xfId="0" applyNumberFormat="1" applyFont="1" applyFill="1" applyBorder="1" applyAlignment="1" applyProtection="1"/>
    <xf numFmtId="5" fontId="13" fillId="0" borderId="116" xfId="0" applyNumberFormat="1" applyFont="1" applyFill="1" applyBorder="1" applyAlignment="1" applyProtection="1"/>
    <xf numFmtId="5" fontId="13" fillId="0" borderId="29" xfId="0" applyNumberFormat="1" applyFont="1" applyFill="1" applyBorder="1" applyProtection="1"/>
    <xf numFmtId="10" fontId="13" fillId="0" borderId="117" xfId="0" applyNumberFormat="1" applyFont="1" applyFill="1" applyBorder="1" applyProtection="1"/>
    <xf numFmtId="0" fontId="5" fillId="0" borderId="118" xfId="0" applyFont="1" applyFill="1" applyBorder="1" applyAlignment="1">
      <alignment horizontal="center"/>
    </xf>
    <xf numFmtId="0" fontId="5" fillId="0" borderId="57" xfId="0" applyFont="1" applyFill="1" applyBorder="1" applyAlignment="1">
      <alignment horizontal="left"/>
    </xf>
    <xf numFmtId="5" fontId="13" fillId="0" borderId="119" xfId="0" applyNumberFormat="1" applyFont="1" applyFill="1" applyBorder="1" applyAlignment="1" applyProtection="1"/>
    <xf numFmtId="5" fontId="13" fillId="0" borderId="57" xfId="0" applyNumberFormat="1" applyFont="1" applyFill="1" applyBorder="1" applyProtection="1"/>
    <xf numFmtId="10" fontId="13" fillId="0" borderId="120" xfId="0" applyNumberFormat="1" applyFont="1" applyFill="1" applyBorder="1" applyProtection="1"/>
    <xf numFmtId="0" fontId="5" fillId="0" borderId="11" xfId="0" applyFont="1" applyFill="1" applyBorder="1" applyAlignment="1">
      <alignment horizontal="left"/>
    </xf>
    <xf numFmtId="5" fontId="13" fillId="0" borderId="61" xfId="0" applyNumberFormat="1" applyFont="1" applyFill="1" applyBorder="1" applyAlignment="1" applyProtection="1"/>
    <xf numFmtId="5" fontId="13" fillId="0" borderId="95" xfId="0" applyNumberFormat="1" applyFont="1" applyFill="1" applyBorder="1" applyAlignment="1" applyProtection="1"/>
    <xf numFmtId="5" fontId="13" fillId="0" borderId="113" xfId="0" applyNumberFormat="1" applyFont="1" applyFill="1" applyBorder="1" applyAlignment="1" applyProtection="1"/>
    <xf numFmtId="10" fontId="13" fillId="0" borderId="21" xfId="0" applyNumberFormat="1" applyFont="1" applyFill="1" applyBorder="1" applyProtection="1"/>
    <xf numFmtId="0" fontId="15" fillId="2" borderId="22" xfId="0" applyFont="1" applyFill="1" applyBorder="1" applyAlignment="1">
      <alignment horizontal="center" vertical="center" wrapText="1"/>
    </xf>
    <xf numFmtId="5" fontId="15" fillId="2" borderId="78" xfId="0" applyNumberFormat="1" applyFont="1" applyFill="1" applyBorder="1" applyAlignment="1" applyProtection="1">
      <alignment vertical="center"/>
    </xf>
    <xf numFmtId="5" fontId="15" fillId="2" borderId="79" xfId="0" applyNumberFormat="1" applyFont="1" applyFill="1" applyBorder="1" applyAlignment="1" applyProtection="1">
      <alignment vertical="center"/>
    </xf>
    <xf numFmtId="5" fontId="15" fillId="2" borderId="123" xfId="0" applyNumberFormat="1" applyFont="1" applyFill="1" applyBorder="1" applyAlignment="1" applyProtection="1">
      <alignment vertical="center"/>
    </xf>
    <xf numFmtId="5" fontId="15" fillId="2" borderId="80" xfId="0" applyNumberFormat="1" applyFont="1" applyFill="1" applyBorder="1" applyAlignment="1" applyProtection="1">
      <alignment vertical="center"/>
    </xf>
    <xf numFmtId="10" fontId="13" fillId="2" borderId="124" xfId="0" applyNumberFormat="1" applyFont="1" applyFill="1" applyBorder="1" applyAlignment="1" applyProtection="1">
      <alignment vertical="center"/>
    </xf>
    <xf numFmtId="0" fontId="6" fillId="3" borderId="125" xfId="0" applyFont="1" applyFill="1" applyBorder="1" applyAlignment="1">
      <alignment horizontal="center" vertical="center"/>
    </xf>
    <xf numFmtId="5" fontId="6" fillId="3" borderId="127" xfId="0" applyNumberFormat="1" applyFont="1" applyFill="1" applyBorder="1" applyAlignment="1" applyProtection="1">
      <alignment vertical="center"/>
    </xf>
    <xf numFmtId="164" fontId="16" fillId="3" borderId="126" xfId="0" applyNumberFormat="1" applyFont="1" applyFill="1" applyBorder="1" applyAlignment="1" applyProtection="1">
      <alignment vertical="center"/>
    </xf>
    <xf numFmtId="164" fontId="16" fillId="3" borderId="128" xfId="0" applyNumberFormat="1" applyFont="1" applyFill="1" applyBorder="1" applyAlignment="1" applyProtection="1">
      <alignment vertical="center"/>
    </xf>
    <xf numFmtId="0" fontId="0" fillId="0" borderId="0" xfId="0" applyBorder="1" applyAlignment="1">
      <alignment vertical="center"/>
    </xf>
    <xf numFmtId="0" fontId="6" fillId="3" borderId="8" xfId="0" applyFont="1" applyFill="1" applyBorder="1" applyAlignment="1">
      <alignment horizontal="center" vertical="center"/>
    </xf>
    <xf numFmtId="5" fontId="6" fillId="3" borderId="129" xfId="0" applyNumberFormat="1" applyFont="1" applyFill="1" applyBorder="1" applyAlignment="1" applyProtection="1">
      <alignment vertical="center"/>
    </xf>
    <xf numFmtId="164" fontId="16" fillId="3" borderId="28" xfId="0" applyNumberFormat="1" applyFont="1" applyFill="1" applyBorder="1" applyAlignment="1" applyProtection="1">
      <alignment vertical="center"/>
    </xf>
    <xf numFmtId="164" fontId="16" fillId="3" borderId="130" xfId="0" applyNumberFormat="1" applyFont="1" applyFill="1" applyBorder="1" applyAlignment="1" applyProtection="1">
      <alignment vertical="center"/>
    </xf>
    <xf numFmtId="5" fontId="6" fillId="3" borderId="29" xfId="0" applyNumberFormat="1" applyFont="1" applyFill="1" applyBorder="1" applyAlignment="1" applyProtection="1">
      <alignment vertical="center"/>
    </xf>
    <xf numFmtId="5" fontId="6" fillId="3" borderId="117" xfId="0" applyNumberFormat="1" applyFont="1" applyFill="1" applyBorder="1" applyAlignment="1" applyProtection="1">
      <alignment vertical="center"/>
    </xf>
    <xf numFmtId="5" fontId="6" fillId="3" borderId="131" xfId="0" applyNumberFormat="1" applyFont="1" applyFill="1" applyBorder="1" applyAlignment="1" applyProtection="1">
      <alignment vertical="center"/>
    </xf>
    <xf numFmtId="0" fontId="15" fillId="0" borderId="13" xfId="0" applyFont="1" applyFill="1" applyBorder="1" applyAlignment="1">
      <alignment horizontal="center"/>
    </xf>
    <xf numFmtId="0" fontId="15" fillId="0" borderId="1" xfId="0" applyFont="1" applyFill="1" applyBorder="1" applyAlignment="1">
      <alignment horizontal="left"/>
    </xf>
    <xf numFmtId="5" fontId="15" fillId="0" borderId="132" xfId="0" applyNumberFormat="1" applyFont="1" applyFill="1" applyBorder="1" applyProtection="1"/>
    <xf numFmtId="5" fontId="15" fillId="0" borderId="16" xfId="0" applyNumberFormat="1" applyFont="1" applyFill="1" applyBorder="1" applyAlignment="1" applyProtection="1"/>
    <xf numFmtId="5" fontId="15" fillId="0" borderId="133" xfId="0" applyNumberFormat="1" applyFont="1" applyFill="1" applyBorder="1" applyAlignment="1" applyProtection="1">
      <alignment horizontal="left"/>
    </xf>
    <xf numFmtId="5" fontId="15" fillId="0" borderId="17" xfId="0" applyNumberFormat="1" applyFont="1" applyFill="1" applyBorder="1" applyProtection="1"/>
    <xf numFmtId="10" fontId="13" fillId="0" borderId="18" xfId="0" applyNumberFormat="1" applyFont="1" applyFill="1" applyBorder="1" applyProtection="1"/>
    <xf numFmtId="0" fontId="17" fillId="0" borderId="0" xfId="0" applyFont="1" applyAlignment="1">
      <alignment horizontal="right"/>
    </xf>
    <xf numFmtId="0" fontId="17" fillId="0" borderId="0" xfId="0" applyFont="1"/>
    <xf numFmtId="0" fontId="18" fillId="0" borderId="0" xfId="0" applyFont="1" applyAlignment="1">
      <alignment horizontal="right"/>
    </xf>
    <xf numFmtId="6" fontId="18" fillId="0" borderId="0" xfId="0" applyNumberFormat="1" applyFont="1" applyAlignment="1">
      <alignment horizontal="right"/>
    </xf>
    <xf numFmtId="5" fontId="14" fillId="0" borderId="0" xfId="0" applyNumberFormat="1" applyFont="1"/>
    <xf numFmtId="0" fontId="0" fillId="0" borderId="0" xfId="0" applyAlignment="1">
      <alignment vertical="center"/>
    </xf>
    <xf numFmtId="0" fontId="14" fillId="0" borderId="0" xfId="0" applyFont="1"/>
    <xf numFmtId="6" fontId="0" fillId="0" borderId="0" xfId="0" applyNumberFormat="1"/>
    <xf numFmtId="0" fontId="0" fillId="0" borderId="0" xfId="0" applyAlignment="1">
      <alignment horizontal="right"/>
    </xf>
    <xf numFmtId="1" fontId="14" fillId="10" borderId="139" xfId="0" applyNumberFormat="1" applyFont="1" applyFill="1" applyBorder="1" applyAlignment="1" applyProtection="1">
      <alignment horizontal="center"/>
    </xf>
    <xf numFmtId="1" fontId="19" fillId="10" borderId="140" xfId="0" applyNumberFormat="1" applyFont="1" applyFill="1" applyBorder="1" applyAlignment="1" applyProtection="1">
      <alignment horizontal="center"/>
    </xf>
    <xf numFmtId="1" fontId="18" fillId="10" borderId="141" xfId="0" applyNumberFormat="1" applyFont="1" applyFill="1" applyBorder="1" applyAlignment="1" applyProtection="1">
      <alignment horizontal="center"/>
    </xf>
    <xf numFmtId="0" fontId="0" fillId="0" borderId="0" xfId="0" applyAlignment="1">
      <alignment horizontal="center"/>
    </xf>
    <xf numFmtId="0" fontId="14" fillId="0" borderId="142" xfId="0" applyFont="1" applyFill="1" applyBorder="1" applyProtection="1"/>
    <xf numFmtId="0" fontId="14" fillId="0" borderId="143" xfId="0" applyFont="1" applyFill="1" applyBorder="1" applyProtection="1"/>
    <xf numFmtId="5" fontId="14" fillId="0" borderId="137" xfId="0" applyNumberFormat="1" applyFont="1" applyFill="1" applyBorder="1" applyProtection="1"/>
    <xf numFmtId="6" fontId="14" fillId="0" borderId="137" xfId="0" applyNumberFormat="1" applyFont="1" applyFill="1" applyBorder="1" applyProtection="1"/>
    <xf numFmtId="38" fontId="14" fillId="0" borderId="137" xfId="0" applyNumberFormat="1" applyFont="1" applyFill="1" applyBorder="1" applyProtection="1"/>
    <xf numFmtId="5" fontId="14" fillId="2" borderId="137" xfId="0" applyNumberFormat="1" applyFont="1" applyFill="1" applyBorder="1" applyProtection="1"/>
    <xf numFmtId="6" fontId="14" fillId="8" borderId="137" xfId="0" applyNumberFormat="1" applyFont="1" applyFill="1" applyBorder="1" applyProtection="1"/>
    <xf numFmtId="6" fontId="14" fillId="5" borderId="137" xfId="0" applyNumberFormat="1" applyFont="1" applyFill="1" applyBorder="1" applyProtection="1"/>
    <xf numFmtId="5" fontId="14" fillId="3" borderId="137" xfId="0" applyNumberFormat="1" applyFont="1" applyFill="1" applyBorder="1" applyProtection="1"/>
    <xf numFmtId="0" fontId="14" fillId="0" borderId="144" xfId="0" applyFont="1" applyFill="1" applyBorder="1" applyProtection="1"/>
    <xf numFmtId="0" fontId="14" fillId="0" borderId="145" xfId="0" applyFont="1" applyFill="1" applyBorder="1" applyProtection="1"/>
    <xf numFmtId="5" fontId="14" fillId="0" borderId="141" xfId="0" applyNumberFormat="1" applyFont="1" applyFill="1" applyBorder="1" applyProtection="1"/>
    <xf numFmtId="6" fontId="14" fillId="0" borderId="141" xfId="0" applyNumberFormat="1" applyFont="1" applyFill="1" applyBorder="1" applyProtection="1"/>
    <xf numFmtId="38" fontId="14" fillId="0" borderId="141" xfId="0" applyNumberFormat="1" applyFont="1" applyFill="1" applyBorder="1" applyProtection="1"/>
    <xf numFmtId="5" fontId="14" fillId="2" borderId="141" xfId="0" applyNumberFormat="1" applyFont="1" applyFill="1" applyBorder="1" applyProtection="1"/>
    <xf numFmtId="6" fontId="14" fillId="8" borderId="141" xfId="0" applyNumberFormat="1" applyFont="1" applyFill="1" applyBorder="1" applyProtection="1"/>
    <xf numFmtId="6" fontId="14" fillId="5" borderId="141" xfId="0" applyNumberFormat="1" applyFont="1" applyFill="1" applyBorder="1" applyProtection="1"/>
    <xf numFmtId="5" fontId="14" fillId="3" borderId="141" xfId="0" applyNumberFormat="1" applyFont="1" applyFill="1" applyBorder="1" applyProtection="1"/>
    <xf numFmtId="6" fontId="14" fillId="2" borderId="137" xfId="0" applyNumberFormat="1" applyFont="1" applyFill="1" applyBorder="1" applyProtection="1"/>
    <xf numFmtId="6" fontId="14" fillId="2" borderId="141" xfId="0" applyNumberFormat="1" applyFont="1" applyFill="1" applyBorder="1" applyProtection="1"/>
    <xf numFmtId="0" fontId="0" fillId="0" borderId="84" xfId="0" applyBorder="1" applyAlignment="1">
      <alignment wrapText="1"/>
    </xf>
    <xf numFmtId="0" fontId="0" fillId="0" borderId="0" xfId="0" applyBorder="1" applyAlignment="1">
      <alignment wrapText="1"/>
    </xf>
    <xf numFmtId="0" fontId="14" fillId="0" borderId="146" xfId="0" applyFont="1" applyFill="1" applyBorder="1" applyProtection="1"/>
    <xf numFmtId="0" fontId="14" fillId="0" borderId="147" xfId="0" applyFont="1" applyFill="1" applyBorder="1" applyProtection="1"/>
    <xf numFmtId="5" fontId="14" fillId="0" borderId="148" xfId="0" applyNumberFormat="1" applyFont="1" applyFill="1" applyBorder="1" applyProtection="1"/>
    <xf numFmtId="6" fontId="14" fillId="0" borderId="148" xfId="0" applyNumberFormat="1" applyFont="1" applyFill="1" applyBorder="1" applyProtection="1"/>
    <xf numFmtId="38" fontId="14" fillId="0" borderId="148" xfId="0" applyNumberFormat="1" applyFont="1" applyFill="1" applyBorder="1" applyProtection="1"/>
    <xf numFmtId="5" fontId="14" fillId="2" borderId="148" xfId="0" applyNumberFormat="1" applyFont="1" applyFill="1" applyBorder="1" applyProtection="1"/>
    <xf numFmtId="6" fontId="14" fillId="8" borderId="148" xfId="0" applyNumberFormat="1" applyFont="1" applyFill="1" applyBorder="1" applyProtection="1"/>
    <xf numFmtId="6" fontId="14" fillId="5" borderId="148" xfId="0" applyNumberFormat="1" applyFont="1" applyFill="1" applyBorder="1" applyProtection="1"/>
    <xf numFmtId="3" fontId="14" fillId="0" borderId="137" xfId="0" applyNumberFormat="1" applyFont="1" applyFill="1" applyBorder="1" applyAlignment="1">
      <alignment horizontal="right"/>
    </xf>
    <xf numFmtId="3" fontId="14" fillId="0" borderId="84" xfId="0" applyNumberFormat="1" applyFont="1" applyFill="1" applyBorder="1" applyAlignment="1">
      <alignment horizontal="left"/>
    </xf>
    <xf numFmtId="0" fontId="19" fillId="0" borderId="149" xfId="0" applyFont="1" applyFill="1" applyBorder="1" applyProtection="1"/>
    <xf numFmtId="0" fontId="21" fillId="0" borderId="150" xfId="0" applyFont="1" applyFill="1" applyBorder="1" applyAlignment="1" applyProtection="1">
      <alignment horizontal="center"/>
    </xf>
    <xf numFmtId="6" fontId="21" fillId="0" borderId="151" xfId="1" applyNumberFormat="1" applyFont="1" applyFill="1" applyBorder="1" applyProtection="1"/>
    <xf numFmtId="6" fontId="21" fillId="2" borderId="151" xfId="1" applyNumberFormat="1" applyFont="1" applyFill="1" applyBorder="1" applyProtection="1"/>
    <xf numFmtId="6" fontId="21" fillId="8" borderId="151" xfId="1" applyNumberFormat="1" applyFont="1" applyFill="1" applyBorder="1" applyProtection="1"/>
    <xf numFmtId="6" fontId="21" fillId="5" borderId="151" xfId="1" applyNumberFormat="1" applyFont="1" applyFill="1" applyBorder="1" applyProtection="1"/>
    <xf numFmtId="6" fontId="21" fillId="0" borderId="0" xfId="0" applyNumberFormat="1" applyFont="1" applyBorder="1"/>
    <xf numFmtId="5" fontId="0" fillId="0" borderId="0" xfId="0" applyNumberFormat="1" applyAlignment="1">
      <alignment horizontal="center"/>
    </xf>
    <xf numFmtId="1" fontId="14" fillId="10" borderId="139" xfId="0" applyNumberFormat="1" applyFont="1" applyFill="1" applyBorder="1" applyAlignment="1" applyProtection="1">
      <alignment horizontal="center" vertical="center"/>
    </xf>
    <xf numFmtId="1" fontId="19" fillId="10" borderId="140" xfId="0" applyNumberFormat="1" applyFont="1" applyFill="1" applyBorder="1" applyAlignment="1" applyProtection="1">
      <alignment horizontal="center" vertical="center"/>
    </xf>
    <xf numFmtId="1" fontId="18" fillId="10" borderId="141" xfId="0" applyNumberFormat="1" applyFont="1" applyFill="1" applyBorder="1" applyAlignment="1" applyProtection="1">
      <alignment horizontal="center" vertical="center"/>
    </xf>
    <xf numFmtId="0" fontId="0" fillId="0" borderId="0" xfId="0" applyAlignment="1">
      <alignment horizontal="center" vertical="center"/>
    </xf>
    <xf numFmtId="6" fontId="14" fillId="12" borderId="137" xfId="0" applyNumberFormat="1" applyFont="1" applyFill="1" applyBorder="1" applyProtection="1"/>
    <xf numFmtId="6" fontId="14" fillId="12" borderId="141" xfId="0" applyNumberFormat="1" applyFont="1" applyFill="1" applyBorder="1" applyProtection="1"/>
    <xf numFmtId="0" fontId="0" fillId="0" borderId="0" xfId="0" applyBorder="1" applyAlignment="1">
      <alignment horizontal="left" wrapText="1"/>
    </xf>
    <xf numFmtId="0" fontId="0" fillId="0" borderId="0" xfId="0" applyBorder="1" applyAlignment="1">
      <alignment horizontal="center" wrapText="1"/>
    </xf>
    <xf numFmtId="6" fontId="14" fillId="0" borderId="138" xfId="0" applyNumberFormat="1" applyFont="1" applyFill="1" applyBorder="1" applyProtection="1"/>
    <xf numFmtId="6" fontId="14" fillId="12" borderId="148" xfId="0" applyNumberFormat="1" applyFont="1" applyFill="1" applyBorder="1" applyProtection="1"/>
    <xf numFmtId="6" fontId="21" fillId="0" borderId="151" xfId="5" applyNumberFormat="1" applyFont="1" applyFill="1" applyBorder="1" applyProtection="1"/>
    <xf numFmtId="6" fontId="21" fillId="12" borderId="151" xfId="5" applyNumberFormat="1" applyFont="1" applyFill="1" applyBorder="1" applyProtection="1"/>
    <xf numFmtId="0" fontId="3" fillId="0" borderId="0" xfId="0" quotePrefix="1" applyFont="1" applyFill="1" applyBorder="1" applyAlignment="1">
      <alignment horizontal="left"/>
    </xf>
    <xf numFmtId="0" fontId="0" fillId="0" borderId="0" xfId="0" applyFill="1" applyBorder="1" applyAlignment="1">
      <alignment horizontal="left"/>
    </xf>
    <xf numFmtId="0" fontId="14" fillId="0" borderId="0" xfId="0" applyFont="1" applyFill="1" applyBorder="1"/>
    <xf numFmtId="0" fontId="28" fillId="0" borderId="0" xfId="0" applyFont="1" applyFill="1" applyBorder="1"/>
    <xf numFmtId="0" fontId="31" fillId="0" borderId="0" xfId="0" applyFont="1" applyFill="1" applyBorder="1"/>
    <xf numFmtId="0" fontId="31" fillId="0" borderId="0" xfId="0" applyFont="1" applyFill="1" applyBorder="1" applyAlignment="1"/>
    <xf numFmtId="0" fontId="14" fillId="0" borderId="0" xfId="0" applyFont="1" applyFill="1" applyBorder="1" applyAlignment="1"/>
    <xf numFmtId="0" fontId="34" fillId="0" borderId="136" xfId="0" applyFont="1" applyFill="1" applyBorder="1" applyAlignment="1">
      <alignment horizontal="center" vertical="center"/>
    </xf>
    <xf numFmtId="0" fontId="34" fillId="0" borderId="0" xfId="0" applyFont="1" applyBorder="1" applyAlignment="1">
      <alignment horizontal="center" wrapText="1"/>
    </xf>
    <xf numFmtId="0" fontId="35" fillId="0" borderId="135" xfId="0" applyFont="1" applyFill="1" applyBorder="1" applyAlignment="1">
      <alignment horizontal="center" vertical="center" wrapText="1"/>
    </xf>
    <xf numFmtId="0" fontId="35" fillId="0" borderId="0" xfId="0" applyFont="1" applyBorder="1" applyAlignment="1">
      <alignment horizontal="center" wrapText="1"/>
    </xf>
    <xf numFmtId="0" fontId="35" fillId="0" borderId="0" xfId="0" applyFont="1" applyAlignment="1">
      <alignment horizontal="center" wrapText="1"/>
    </xf>
    <xf numFmtId="0" fontId="35" fillId="0" borderId="135" xfId="0" applyFont="1" applyBorder="1" applyAlignment="1">
      <alignment horizontal="center" vertical="center" wrapText="1"/>
    </xf>
    <xf numFmtId="0" fontId="35" fillId="0" borderId="110" xfId="0" applyFont="1" applyBorder="1" applyAlignment="1">
      <alignment horizontal="center" vertical="center" wrapText="1"/>
    </xf>
    <xf numFmtId="0" fontId="35" fillId="0" borderId="136" xfId="0" quotePrefix="1" applyFont="1" applyFill="1" applyBorder="1" applyAlignment="1">
      <alignment horizontal="center" vertical="center"/>
    </xf>
    <xf numFmtId="6" fontId="34" fillId="0" borderId="135" xfId="0" applyNumberFormat="1" applyFont="1" applyFill="1" applyBorder="1" applyAlignment="1">
      <alignment horizontal="center" vertical="center" wrapText="1"/>
    </xf>
    <xf numFmtId="0" fontId="34" fillId="0" borderId="134" xfId="0" quotePrefix="1" applyFont="1" applyFill="1" applyBorder="1" applyAlignment="1">
      <alignment horizontal="center" vertical="center"/>
    </xf>
    <xf numFmtId="0" fontId="35" fillId="0" borderId="0" xfId="0" applyFont="1" applyFill="1" applyBorder="1" applyAlignment="1">
      <alignment horizontal="center" vertical="center" wrapText="1"/>
    </xf>
    <xf numFmtId="0" fontId="35" fillId="0" borderId="0" xfId="0" quotePrefix="1" applyFont="1" applyFill="1" applyBorder="1" applyAlignment="1">
      <alignment horizontal="center" vertical="center" wrapText="1"/>
    </xf>
    <xf numFmtId="0" fontId="34" fillId="0" borderId="0" xfId="0" applyFont="1" applyAlignment="1">
      <alignment horizontal="center"/>
    </xf>
    <xf numFmtId="0" fontId="34" fillId="0" borderId="0" xfId="0" applyFont="1" applyFill="1" applyAlignment="1">
      <alignment horizontal="center"/>
    </xf>
    <xf numFmtId="0" fontId="34" fillId="0" borderId="152" xfId="0" applyFont="1" applyFill="1" applyBorder="1" applyAlignment="1">
      <alignment horizontal="center"/>
    </xf>
    <xf numFmtId="9" fontId="37" fillId="2" borderId="153" xfId="3" applyFont="1" applyFill="1" applyBorder="1" applyAlignment="1">
      <alignment horizontal="right"/>
    </xf>
    <xf numFmtId="0" fontId="38" fillId="0" borderId="154" xfId="0" applyFont="1" applyFill="1" applyBorder="1" applyAlignment="1">
      <alignment horizontal="center"/>
    </xf>
    <xf numFmtId="9" fontId="37" fillId="2" borderId="155" xfId="0" applyNumberFormat="1" applyFont="1" applyFill="1" applyBorder="1" applyAlignment="1">
      <alignment horizontal="right"/>
    </xf>
    <xf numFmtId="0" fontId="38" fillId="0" borderId="156" xfId="0" applyFont="1" applyFill="1" applyBorder="1" applyAlignment="1">
      <alignment horizontal="center"/>
    </xf>
    <xf numFmtId="9" fontId="37" fillId="2" borderId="155" xfId="3" applyFont="1" applyFill="1" applyBorder="1" applyAlignment="1">
      <alignment horizontal="right"/>
    </xf>
    <xf numFmtId="164" fontId="37" fillId="2" borderId="155" xfId="1" applyNumberFormat="1" applyFont="1" applyFill="1" applyBorder="1" applyAlignment="1">
      <alignment horizontal="right"/>
    </xf>
    <xf numFmtId="164" fontId="37" fillId="2" borderId="153" xfId="1" applyNumberFormat="1" applyFont="1" applyFill="1" applyBorder="1" applyAlignment="1">
      <alignment horizontal="right"/>
    </xf>
    <xf numFmtId="165" fontId="37" fillId="2" borderId="155" xfId="1" applyNumberFormat="1" applyFont="1" applyFill="1" applyBorder="1" applyAlignment="1">
      <alignment horizontal="right"/>
    </xf>
    <xf numFmtId="0" fontId="5" fillId="0" borderId="0" xfId="0" applyFont="1" applyFill="1" applyBorder="1" applyAlignment="1">
      <alignment horizontal="center" vertical="center" wrapText="1"/>
    </xf>
    <xf numFmtId="9" fontId="37" fillId="2" borderId="155" xfId="1" applyNumberFormat="1" applyFont="1" applyFill="1" applyBorder="1" applyAlignment="1">
      <alignment horizontal="right"/>
    </xf>
    <xf numFmtId="9" fontId="39" fillId="0" borderId="0" xfId="0" applyNumberFormat="1" applyFont="1" applyFill="1" applyBorder="1" applyAlignment="1">
      <alignment horizontal="center"/>
    </xf>
    <xf numFmtId="0" fontId="39" fillId="0" borderId="0" xfId="0" applyFont="1" applyFill="1" applyBorder="1" applyAlignment="1"/>
    <xf numFmtId="0" fontId="34" fillId="0" borderId="0" xfId="0" applyFont="1"/>
    <xf numFmtId="9" fontId="37" fillId="2" borderId="155" xfId="0" applyNumberFormat="1" applyFont="1" applyFill="1" applyBorder="1" applyAlignment="1">
      <alignment horizontal="center"/>
    </xf>
    <xf numFmtId="39" fontId="37" fillId="2" borderId="155" xfId="1" applyNumberFormat="1" applyFont="1" applyFill="1" applyBorder="1" applyAlignment="1">
      <alignment horizontal="center"/>
    </xf>
    <xf numFmtId="9" fontId="37" fillId="0" borderId="157" xfId="0" applyNumberFormat="1" applyFont="1" applyFill="1" applyBorder="1" applyAlignment="1">
      <alignment horizontal="center"/>
    </xf>
    <xf numFmtId="0" fontId="21" fillId="4" borderId="136" xfId="0" applyFont="1" applyFill="1" applyBorder="1" applyAlignment="1">
      <alignment horizontal="center" vertical="center" wrapText="1"/>
    </xf>
    <xf numFmtId="0" fontId="21" fillId="4" borderId="138" xfId="0" applyFont="1" applyFill="1" applyBorder="1" applyAlignment="1">
      <alignment horizontal="center" vertical="center" wrapText="1"/>
    </xf>
    <xf numFmtId="0" fontId="21" fillId="4" borderId="138" xfId="0" quotePrefix="1" applyFont="1" applyFill="1" applyBorder="1" applyAlignment="1">
      <alignment horizontal="center" vertical="center" wrapText="1"/>
    </xf>
    <xf numFmtId="0" fontId="41" fillId="4" borderId="138" xfId="0" applyFont="1" applyFill="1" applyBorder="1" applyAlignment="1">
      <alignment horizontal="center" vertical="center" wrapText="1"/>
    </xf>
    <xf numFmtId="166" fontId="21" fillId="4" borderId="138" xfId="0" applyNumberFormat="1" applyFont="1" applyFill="1" applyBorder="1" applyAlignment="1">
      <alignment horizontal="center" vertical="center" wrapText="1"/>
    </xf>
    <xf numFmtId="0" fontId="40" fillId="4" borderId="159" xfId="0" applyFont="1" applyFill="1" applyBorder="1" applyAlignment="1">
      <alignment horizontal="center" vertical="center" wrapText="1"/>
    </xf>
    <xf numFmtId="0" fontId="40" fillId="14" borderId="159" xfId="0" applyFont="1" applyFill="1" applyBorder="1" applyAlignment="1">
      <alignment horizontal="center" vertical="center" wrapText="1"/>
    </xf>
    <xf numFmtId="0" fontId="40" fillId="2" borderId="135" xfId="0" applyFont="1" applyFill="1" applyBorder="1" applyAlignment="1">
      <alignment horizontal="center" vertical="center" wrapText="1"/>
    </xf>
    <xf numFmtId="0" fontId="40" fillId="4" borderId="135" xfId="0" applyFont="1" applyFill="1" applyBorder="1" applyAlignment="1">
      <alignment horizontal="center" vertical="center" wrapText="1"/>
    </xf>
    <xf numFmtId="0" fontId="40" fillId="14" borderId="135" xfId="0" applyFont="1" applyFill="1" applyBorder="1" applyAlignment="1">
      <alignment horizontal="center" vertical="center" wrapText="1"/>
    </xf>
    <xf numFmtId="0" fontId="42" fillId="4" borderId="135" xfId="0" applyFont="1" applyFill="1" applyBorder="1" applyAlignment="1">
      <alignment horizontal="center" vertical="center" wrapText="1"/>
    </xf>
    <xf numFmtId="0" fontId="42" fillId="4" borderId="137" xfId="0" applyFont="1" applyFill="1" applyBorder="1" applyAlignment="1">
      <alignment horizontal="center" vertical="center" wrapText="1"/>
    </xf>
    <xf numFmtId="0" fontId="42" fillId="14" borderId="135" xfId="0" applyFont="1" applyFill="1" applyBorder="1" applyAlignment="1">
      <alignment horizontal="center" vertical="center" wrapText="1"/>
    </xf>
    <xf numFmtId="0" fontId="42" fillId="2" borderId="137" xfId="0" applyFont="1" applyFill="1" applyBorder="1" applyAlignment="1">
      <alignment horizontal="center" vertical="center" wrapText="1"/>
    </xf>
    <xf numFmtId="0" fontId="42" fillId="4" borderId="136" xfId="0" applyFont="1" applyFill="1" applyBorder="1" applyAlignment="1">
      <alignment horizontal="center" vertical="center" wrapText="1"/>
    </xf>
    <xf numFmtId="0" fontId="21" fillId="2" borderId="136" xfId="0" applyFont="1" applyFill="1" applyBorder="1" applyAlignment="1">
      <alignment horizontal="center" vertical="center" wrapText="1"/>
    </xf>
    <xf numFmtId="0" fontId="21" fillId="2" borderId="138" xfId="0" applyFont="1" applyFill="1" applyBorder="1" applyAlignment="1">
      <alignment horizontal="center" vertical="center" wrapText="1"/>
    </xf>
    <xf numFmtId="0" fontId="21" fillId="2" borderId="135" xfId="0" applyFont="1" applyFill="1" applyBorder="1" applyAlignment="1">
      <alignment horizontal="center" vertical="center" wrapText="1"/>
    </xf>
    <xf numFmtId="0" fontId="21" fillId="15" borderId="136" xfId="0" applyFont="1" applyFill="1" applyBorder="1" applyAlignment="1">
      <alignment horizontal="center" vertical="center" wrapText="1"/>
    </xf>
    <xf numFmtId="0" fontId="14" fillId="0" borderId="0" xfId="0" applyFont="1" applyAlignment="1">
      <alignment horizontal="center"/>
    </xf>
    <xf numFmtId="1" fontId="14" fillId="10" borderId="136" xfId="1" applyNumberFormat="1" applyFont="1" applyFill="1" applyBorder="1" applyAlignment="1">
      <alignment horizontal="center"/>
    </xf>
    <xf numFmtId="1" fontId="18" fillId="10" borderId="136" xfId="1" applyNumberFormat="1" applyFont="1" applyFill="1" applyBorder="1" applyAlignment="1">
      <alignment horizontal="center"/>
    </xf>
    <xf numFmtId="1" fontId="18" fillId="10" borderId="136" xfId="1" quotePrefix="1" applyNumberFormat="1" applyFont="1" applyFill="1" applyBorder="1" applyAlignment="1">
      <alignment horizontal="center"/>
    </xf>
    <xf numFmtId="1" fontId="0" fillId="0" borderId="0" xfId="0" applyNumberFormat="1" applyAlignment="1">
      <alignment horizontal="center"/>
    </xf>
    <xf numFmtId="1" fontId="14" fillId="0" borderId="0" xfId="1" applyNumberFormat="1" applyFont="1" applyAlignment="1">
      <alignment horizontal="center"/>
    </xf>
    <xf numFmtId="0" fontId="14" fillId="0" borderId="136" xfId="0" applyFont="1" applyBorder="1" applyAlignment="1">
      <alignment horizontal="center"/>
    </xf>
    <xf numFmtId="0" fontId="14" fillId="0" borderId="136" xfId="0" applyFont="1" applyBorder="1"/>
    <xf numFmtId="15" fontId="14" fillId="14" borderId="136" xfId="0" applyNumberFormat="1" applyFont="1" applyFill="1" applyBorder="1" applyAlignment="1">
      <alignment horizontal="center"/>
    </xf>
    <xf numFmtId="0" fontId="19" fillId="19" borderId="136" xfId="0" applyFont="1" applyFill="1" applyBorder="1" applyAlignment="1">
      <alignment horizontal="center"/>
    </xf>
    <xf numFmtId="164" fontId="19" fillId="19" borderId="136" xfId="1" applyNumberFormat="1" applyFont="1" applyFill="1" applyBorder="1" applyAlignment="1">
      <alignment horizontal="center"/>
    </xf>
    <xf numFmtId="164" fontId="14" fillId="19" borderId="136" xfId="1" applyNumberFormat="1" applyFont="1" applyFill="1" applyBorder="1" applyAlignment="1">
      <alignment horizontal="center"/>
    </xf>
    <xf numFmtId="0" fontId="14" fillId="0" borderId="136" xfId="0" applyFont="1" applyFill="1" applyBorder="1"/>
    <xf numFmtId="3" fontId="14" fillId="0" borderId="137" xfId="0" applyNumberFormat="1" applyFont="1" applyFill="1" applyBorder="1" applyAlignment="1">
      <alignment horizontal="center"/>
    </xf>
    <xf numFmtId="3" fontId="14" fillId="0" borderId="137" xfId="0" applyNumberFormat="1" applyFont="1" applyFill="1" applyBorder="1"/>
    <xf numFmtId="3" fontId="14" fillId="0" borderId="137" xfId="0" applyNumberFormat="1" applyFont="1" applyBorder="1"/>
    <xf numFmtId="3" fontId="14" fillId="3" borderId="137" xfId="0" applyNumberFormat="1" applyFont="1" applyFill="1" applyBorder="1"/>
    <xf numFmtId="3" fontId="14" fillId="0" borderId="137" xfId="1" applyNumberFormat="1" applyFont="1" applyBorder="1"/>
    <xf numFmtId="167" fontId="14" fillId="0" borderId="137" xfId="3" applyNumberFormat="1" applyFont="1" applyBorder="1"/>
    <xf numFmtId="165" fontId="14" fillId="0" borderId="113" xfId="0" applyNumberFormat="1" applyFont="1" applyBorder="1"/>
    <xf numFmtId="165" fontId="14" fillId="2" borderId="113" xfId="0" applyNumberFormat="1" applyFont="1" applyFill="1" applyBorder="1"/>
    <xf numFmtId="10" fontId="14" fillId="0" borderId="113" xfId="0" applyNumberFormat="1" applyFont="1" applyBorder="1"/>
    <xf numFmtId="6" fontId="14" fillId="0" borderId="113" xfId="2" applyNumberFormat="1" applyFont="1" applyBorder="1"/>
    <xf numFmtId="6" fontId="14" fillId="0" borderId="137" xfId="0" applyNumberFormat="1" applyFont="1" applyBorder="1"/>
    <xf numFmtId="165" fontId="14" fillId="0" borderId="137" xfId="0" applyNumberFormat="1" applyFont="1" applyBorder="1"/>
    <xf numFmtId="165" fontId="14" fillId="2" borderId="137" xfId="0" applyNumberFormat="1" applyFont="1" applyFill="1" applyBorder="1"/>
    <xf numFmtId="10" fontId="14" fillId="0" borderId="137" xfId="3" applyNumberFormat="1" applyFont="1" applyBorder="1"/>
    <xf numFmtId="165" fontId="14" fillId="2" borderId="137" xfId="1" applyNumberFormat="1" applyFont="1" applyFill="1" applyBorder="1"/>
    <xf numFmtId="165" fontId="14" fillId="0" borderId="137" xfId="1" applyNumberFormat="1" applyFont="1" applyBorder="1"/>
    <xf numFmtId="164" fontId="14" fillId="0" borderId="137" xfId="1" applyNumberFormat="1" applyFont="1" applyBorder="1"/>
    <xf numFmtId="6" fontId="14" fillId="0" borderId="137" xfId="1" applyNumberFormat="1" applyFont="1" applyBorder="1"/>
    <xf numFmtId="3" fontId="14" fillId="0" borderId="0" xfId="0" applyNumberFormat="1" applyFont="1"/>
    <xf numFmtId="3" fontId="14" fillId="0" borderId="138" xfId="0" applyNumberFormat="1" applyFont="1" applyFill="1" applyBorder="1" applyAlignment="1">
      <alignment horizontal="center"/>
    </xf>
    <xf numFmtId="3" fontId="14" fillId="0" borderId="138" xfId="0" applyNumberFormat="1" applyFont="1" applyFill="1" applyBorder="1"/>
    <xf numFmtId="3" fontId="14" fillId="0" borderId="138" xfId="0" applyNumberFormat="1" applyFont="1" applyBorder="1"/>
    <xf numFmtId="3" fontId="14" fillId="3" borderId="138" xfId="0" applyNumberFormat="1" applyFont="1" applyFill="1" applyBorder="1"/>
    <xf numFmtId="167" fontId="14" fillId="0" borderId="138" xfId="3" applyNumberFormat="1" applyFont="1" applyBorder="1"/>
    <xf numFmtId="165" fontId="14" fillId="0" borderId="160" xfId="0" applyNumberFormat="1" applyFont="1" applyBorder="1"/>
    <xf numFmtId="165" fontId="14" fillId="2" borderId="160" xfId="0" applyNumberFormat="1" applyFont="1" applyFill="1" applyBorder="1"/>
    <xf numFmtId="10" fontId="14" fillId="0" borderId="138" xfId="0" applyNumberFormat="1" applyFont="1" applyBorder="1"/>
    <xf numFmtId="10" fontId="14" fillId="0" borderId="160" xfId="0" applyNumberFormat="1" applyFont="1" applyBorder="1"/>
    <xf numFmtId="6" fontId="14" fillId="0" borderId="160" xfId="2" applyNumberFormat="1" applyFont="1" applyBorder="1"/>
    <xf numFmtId="6" fontId="14" fillId="0" borderId="138" xfId="0" applyNumberFormat="1" applyFont="1" applyBorder="1"/>
    <xf numFmtId="165" fontId="14" fillId="0" borderId="138" xfId="0" applyNumberFormat="1" applyFont="1" applyBorder="1"/>
    <xf numFmtId="165" fontId="14" fillId="2" borderId="138" xfId="0" applyNumberFormat="1" applyFont="1" applyFill="1" applyBorder="1"/>
    <xf numFmtId="10" fontId="14" fillId="0" borderId="138" xfId="3" applyNumberFormat="1" applyFont="1" applyBorder="1"/>
    <xf numFmtId="165" fontId="14" fillId="2" borderId="138" xfId="1" applyNumberFormat="1" applyFont="1" applyFill="1" applyBorder="1"/>
    <xf numFmtId="165" fontId="14" fillId="0" borderId="138" xfId="1" applyNumberFormat="1" applyFont="1" applyBorder="1"/>
    <xf numFmtId="164" fontId="14" fillId="0" borderId="138" xfId="1" applyNumberFormat="1" applyFont="1" applyBorder="1"/>
    <xf numFmtId="6" fontId="14" fillId="0" borderId="138" xfId="1" applyNumberFormat="1" applyFont="1" applyBorder="1"/>
    <xf numFmtId="3" fontId="14" fillId="0" borderId="60" xfId="0" applyNumberFormat="1" applyFont="1" applyBorder="1"/>
    <xf numFmtId="3" fontId="14" fillId="0" borderId="135" xfId="0" applyNumberFormat="1" applyFont="1" applyBorder="1"/>
    <xf numFmtId="165" fontId="14" fillId="3" borderId="160" xfId="0" applyNumberFormat="1" applyFont="1" applyFill="1" applyBorder="1"/>
    <xf numFmtId="165" fontId="14" fillId="4" borderId="113" xfId="0" applyNumberFormat="1" applyFont="1" applyFill="1" applyBorder="1"/>
    <xf numFmtId="3" fontId="14" fillId="0" borderId="137" xfId="0" applyNumberFormat="1" applyFont="1" applyFill="1" applyBorder="1" applyAlignment="1">
      <alignment horizontal="left"/>
    </xf>
    <xf numFmtId="165" fontId="14" fillId="2" borderId="137" xfId="0" applyNumberFormat="1" applyFont="1" applyFill="1" applyBorder="1" applyAlignment="1"/>
    <xf numFmtId="0" fontId="14" fillId="0" borderId="161" xfId="0" applyFont="1" applyFill="1" applyBorder="1" applyAlignment="1">
      <alignment horizontal="center"/>
    </xf>
    <xf numFmtId="0" fontId="21" fillId="0" borderId="161" xfId="0" applyFont="1" applyFill="1" applyBorder="1"/>
    <xf numFmtId="3" fontId="21" fillId="0" borderId="161" xfId="0" applyNumberFormat="1" applyFont="1" applyFill="1" applyBorder="1"/>
    <xf numFmtId="6" fontId="19" fillId="0" borderId="162" xfId="0" applyNumberFormat="1" applyFont="1" applyBorder="1"/>
    <xf numFmtId="6" fontId="19" fillId="0" borderId="161" xfId="0" applyNumberFormat="1" applyFont="1" applyBorder="1"/>
    <xf numFmtId="6" fontId="19" fillId="2" borderId="161" xfId="0" applyNumberFormat="1" applyFont="1" applyFill="1" applyBorder="1"/>
    <xf numFmtId="10" fontId="19" fillId="2" borderId="161" xfId="0" applyNumberFormat="1" applyFont="1" applyFill="1" applyBorder="1"/>
    <xf numFmtId="10" fontId="19" fillId="2" borderId="163" xfId="0" applyNumberFormat="1" applyFont="1" applyFill="1" applyBorder="1"/>
    <xf numFmtId="6" fontId="19" fillId="0" borderId="161" xfId="2" applyNumberFormat="1" applyFont="1" applyBorder="1"/>
    <xf numFmtId="38" fontId="19" fillId="0" borderId="161" xfId="0" applyNumberFormat="1" applyFont="1" applyBorder="1"/>
    <xf numFmtId="38" fontId="19" fillId="2" borderId="161" xfId="0" applyNumberFormat="1" applyFont="1" applyFill="1" applyBorder="1"/>
    <xf numFmtId="10" fontId="19" fillId="0" borderId="161" xfId="3" applyNumberFormat="1" applyFont="1" applyBorder="1"/>
    <xf numFmtId="165" fontId="19" fillId="2" borderId="161" xfId="0" applyNumberFormat="1" applyFont="1" applyFill="1" applyBorder="1"/>
    <xf numFmtId="165" fontId="19" fillId="0" borderId="163" xfId="0" applyNumberFormat="1" applyFont="1" applyBorder="1"/>
    <xf numFmtId="165" fontId="19" fillId="0" borderId="161" xfId="0" applyNumberFormat="1" applyFont="1" applyBorder="1"/>
    <xf numFmtId="10" fontId="19" fillId="0" borderId="163" xfId="3" applyNumberFormat="1" applyFont="1" applyBorder="1"/>
    <xf numFmtId="0" fontId="14" fillId="0" borderId="0" xfId="0" applyFont="1" applyFill="1" applyAlignment="1">
      <alignment horizontal="center"/>
    </xf>
    <xf numFmtId="0" fontId="14" fillId="0" borderId="0" xfId="0" applyFont="1" applyFill="1" applyAlignment="1">
      <alignment wrapText="1"/>
    </xf>
    <xf numFmtId="3" fontId="14" fillId="0" borderId="0" xfId="0" applyNumberFormat="1" applyFont="1" applyFill="1"/>
    <xf numFmtId="0" fontId="14" fillId="0" borderId="0" xfId="0" applyFont="1" applyFill="1"/>
    <xf numFmtId="164" fontId="14" fillId="0" borderId="0" xfId="1" applyNumberFormat="1" applyFont="1" applyFill="1"/>
    <xf numFmtId="166" fontId="14" fillId="0" borderId="0" xfId="0" applyNumberFormat="1" applyFont="1"/>
    <xf numFmtId="6" fontId="14" fillId="0" borderId="0" xfId="0" applyNumberFormat="1" applyFont="1"/>
    <xf numFmtId="165" fontId="14" fillId="0" borderId="0" xfId="0" applyNumberFormat="1" applyFont="1"/>
    <xf numFmtId="7" fontId="34" fillId="0" borderId="0" xfId="2" applyNumberFormat="1" applyFont="1" applyFill="1" applyAlignment="1">
      <alignment horizontal="center"/>
    </xf>
    <xf numFmtId="7" fontId="34" fillId="0" borderId="0" xfId="2" applyNumberFormat="1" applyFont="1" applyFill="1"/>
    <xf numFmtId="3" fontId="14" fillId="0" borderId="84" xfId="0" applyNumberFormat="1" applyFont="1" applyBorder="1"/>
    <xf numFmtId="4" fontId="14" fillId="0" borderId="0" xfId="0" applyNumberFormat="1" applyFont="1" applyBorder="1"/>
    <xf numFmtId="7" fontId="37" fillId="0" borderId="0" xfId="2" quotePrefix="1" applyNumberFormat="1" applyFont="1" applyFill="1" applyAlignment="1">
      <alignment horizontal="center"/>
    </xf>
    <xf numFmtId="3" fontId="14" fillId="0" borderId="0" xfId="0" applyNumberFormat="1" applyFont="1" applyBorder="1"/>
    <xf numFmtId="7" fontId="34" fillId="0" borderId="0" xfId="2" applyNumberFormat="1" applyFont="1" applyFill="1" applyBorder="1"/>
    <xf numFmtId="7" fontId="34" fillId="0" borderId="0" xfId="2" applyNumberFormat="1" applyFont="1"/>
    <xf numFmtId="10" fontId="34" fillId="0" borderId="0" xfId="3" applyNumberFormat="1" applyFont="1"/>
    <xf numFmtId="7" fontId="34" fillId="0" borderId="164" xfId="2" applyNumberFormat="1" applyFont="1" applyBorder="1"/>
    <xf numFmtId="0" fontId="34" fillId="0" borderId="121" xfId="0" applyFont="1" applyBorder="1"/>
    <xf numFmtId="0" fontId="34" fillId="0" borderId="165" xfId="0" applyFont="1" applyBorder="1"/>
    <xf numFmtId="38" fontId="34" fillId="0" borderId="0" xfId="0" applyNumberFormat="1" applyFont="1"/>
    <xf numFmtId="10" fontId="14" fillId="0" borderId="0" xfId="3" applyNumberFormat="1" applyFont="1" applyFill="1" applyBorder="1"/>
    <xf numFmtId="3" fontId="14" fillId="0" borderId="0" xfId="0" applyNumberFormat="1" applyFont="1" applyFill="1" applyBorder="1"/>
    <xf numFmtId="43" fontId="14" fillId="0" borderId="0" xfId="1" applyNumberFormat="1" applyFont="1" applyFill="1"/>
    <xf numFmtId="6" fontId="14" fillId="0" borderId="0" xfId="0" applyNumberFormat="1" applyFont="1" applyFill="1" applyBorder="1"/>
    <xf numFmtId="8" fontId="14" fillId="0" borderId="0" xfId="0" applyNumberFormat="1" applyFont="1"/>
    <xf numFmtId="0" fontId="14" fillId="0" borderId="166" xfId="0" applyFont="1" applyBorder="1"/>
    <xf numFmtId="0" fontId="34" fillId="0" borderId="0" xfId="0" applyFont="1" applyBorder="1"/>
    <xf numFmtId="10" fontId="34" fillId="0" borderId="167" xfId="0" applyNumberFormat="1" applyFont="1" applyBorder="1"/>
    <xf numFmtId="165" fontId="34" fillId="0" borderId="0" xfId="0" applyNumberFormat="1" applyFont="1"/>
    <xf numFmtId="10" fontId="14" fillId="0" borderId="0" xfId="3" applyNumberFormat="1" applyFont="1" applyFill="1"/>
    <xf numFmtId="168" fontId="14" fillId="0" borderId="0" xfId="1" applyNumberFormat="1" applyFont="1"/>
    <xf numFmtId="6" fontId="14" fillId="0" borderId="166" xfId="0" applyNumberFormat="1" applyFont="1" applyBorder="1"/>
    <xf numFmtId="0" fontId="34" fillId="0" borderId="167" xfId="0" applyFont="1" applyBorder="1"/>
    <xf numFmtId="0" fontId="47" fillId="0" borderId="0" xfId="0" applyFont="1" applyFill="1" applyBorder="1"/>
    <xf numFmtId="0" fontId="14" fillId="0" borderId="168" xfId="0" applyFont="1" applyBorder="1"/>
    <xf numFmtId="166" fontId="14" fillId="0" borderId="43" xfId="0" applyNumberFormat="1" applyFont="1" applyFill="1" applyBorder="1"/>
    <xf numFmtId="166" fontId="14" fillId="0" borderId="169" xfId="0" applyNumberFormat="1" applyFont="1" applyFill="1" applyBorder="1"/>
    <xf numFmtId="0" fontId="14" fillId="0" borderId="0" xfId="0" applyFont="1" applyFill="1" applyBorder="1" applyAlignment="1">
      <alignment wrapText="1"/>
    </xf>
    <xf numFmtId="166" fontId="14" fillId="0" borderId="0" xfId="0" applyNumberFormat="1" applyFont="1" applyFill="1" applyBorder="1"/>
    <xf numFmtId="0" fontId="14" fillId="0" borderId="0" xfId="0" applyFont="1" applyFill="1" applyBorder="1" applyAlignment="1">
      <alignment horizontal="center"/>
    </xf>
    <xf numFmtId="16" fontId="14" fillId="0" borderId="0" xfId="0" applyNumberFormat="1" applyFont="1" applyFill="1" applyBorder="1"/>
    <xf numFmtId="0" fontId="14" fillId="0" borderId="0" xfId="0" applyFont="1" applyBorder="1"/>
    <xf numFmtId="166" fontId="14" fillId="0" borderId="0" xfId="0" applyNumberFormat="1" applyFont="1" applyBorder="1"/>
    <xf numFmtId="10" fontId="14" fillId="0" borderId="0" xfId="0" applyNumberFormat="1" applyFont="1" applyBorder="1"/>
    <xf numFmtId="0" fontId="14" fillId="0" borderId="0" xfId="0" applyFont="1" applyBorder="1" applyAlignment="1">
      <alignment horizontal="center"/>
    </xf>
    <xf numFmtId="166" fontId="14" fillId="0" borderId="0" xfId="0" applyNumberFormat="1" applyFont="1" applyBorder="1" applyAlignment="1">
      <alignment horizontal="center"/>
    </xf>
    <xf numFmtId="166" fontId="14" fillId="0" borderId="0" xfId="0" applyNumberFormat="1" applyFont="1" applyFill="1" applyBorder="1" applyAlignment="1">
      <alignment horizontal="center"/>
    </xf>
    <xf numFmtId="0" fontId="14" fillId="0" borderId="60" xfId="0" applyFont="1" applyFill="1" applyBorder="1" applyAlignment="1">
      <alignment horizontal="center"/>
    </xf>
    <xf numFmtId="0" fontId="0" fillId="0" borderId="60" xfId="0" applyBorder="1" applyAlignment="1">
      <alignment horizontal="center"/>
    </xf>
    <xf numFmtId="0" fontId="14" fillId="0" borderId="60" xfId="0" applyFont="1" applyBorder="1" applyAlignment="1">
      <alignment horizontal="center"/>
    </xf>
    <xf numFmtId="0" fontId="14" fillId="0" borderId="60" xfId="0" applyFont="1" applyFill="1" applyBorder="1"/>
    <xf numFmtId="0" fontId="0" fillId="0" borderId="60" xfId="0" applyBorder="1"/>
    <xf numFmtId="0" fontId="14" fillId="0" borderId="60" xfId="0" applyFont="1" applyBorder="1"/>
    <xf numFmtId="164" fontId="14" fillId="0" borderId="0" xfId="1" applyNumberFormat="1" applyFont="1"/>
    <xf numFmtId="0" fontId="14" fillId="0" borderId="0" xfId="0" applyFont="1" applyBorder="1" applyAlignment="1" applyProtection="1">
      <alignment horizontal="center"/>
    </xf>
    <xf numFmtId="0" fontId="19" fillId="0" borderId="113" xfId="0" applyFont="1" applyBorder="1" applyAlignment="1" applyProtection="1">
      <alignment horizontal="center"/>
    </xf>
    <xf numFmtId="0" fontId="49" fillId="0" borderId="135" xfId="0" quotePrefix="1" applyFont="1" applyBorder="1" applyAlignment="1">
      <alignment horizontal="center" vertical="center" wrapText="1"/>
    </xf>
    <xf numFmtId="0" fontId="49" fillId="0" borderId="0" xfId="0" quotePrefix="1" applyFont="1" applyBorder="1" applyAlignment="1">
      <alignment horizontal="center" vertical="center" wrapText="1"/>
    </xf>
    <xf numFmtId="0" fontId="21" fillId="4" borderId="135" xfId="0" applyFont="1" applyFill="1" applyBorder="1" applyAlignment="1">
      <alignment horizontal="center" vertical="center" wrapText="1"/>
    </xf>
    <xf numFmtId="8" fontId="18" fillId="4" borderId="136" xfId="0" applyNumberFormat="1" applyFont="1" applyFill="1" applyBorder="1" applyAlignment="1">
      <alignment horizontal="center" wrapText="1"/>
    </xf>
    <xf numFmtId="165" fontId="18" fillId="4" borderId="136" xfId="0" applyNumberFormat="1" applyFont="1" applyFill="1" applyBorder="1" applyAlignment="1">
      <alignment horizontal="center" wrapText="1"/>
    </xf>
    <xf numFmtId="6" fontId="18" fillId="4" borderId="136" xfId="0" applyNumberFormat="1" applyFont="1" applyFill="1" applyBorder="1" applyAlignment="1">
      <alignment horizontal="center" wrapText="1"/>
    </xf>
    <xf numFmtId="1" fontId="14" fillId="10" borderId="139" xfId="0" applyNumberFormat="1" applyFont="1" applyFill="1" applyBorder="1" applyProtection="1"/>
    <xf numFmtId="1" fontId="19" fillId="10" borderId="140" xfId="0" applyNumberFormat="1" applyFont="1" applyFill="1" applyBorder="1" applyProtection="1"/>
    <xf numFmtId="1" fontId="18" fillId="10" borderId="170" xfId="0" quotePrefix="1" applyNumberFormat="1" applyFont="1" applyFill="1" applyBorder="1" applyAlignment="1" applyProtection="1">
      <alignment horizontal="center"/>
    </xf>
    <xf numFmtId="1" fontId="14" fillId="0" borderId="0" xfId="0" applyNumberFormat="1" applyFont="1"/>
    <xf numFmtId="165" fontId="14" fillId="0" borderId="137" xfId="1" applyNumberFormat="1" applyFont="1" applyFill="1" applyBorder="1" applyProtection="1"/>
    <xf numFmtId="6" fontId="19" fillId="0" borderId="137" xfId="0" applyNumberFormat="1" applyFont="1" applyFill="1" applyBorder="1" applyProtection="1"/>
    <xf numFmtId="164" fontId="19" fillId="0" borderId="137" xfId="1" applyNumberFormat="1" applyFont="1" applyFill="1" applyBorder="1" applyProtection="1"/>
    <xf numFmtId="5" fontId="19" fillId="0" borderId="137" xfId="0" applyNumberFormat="1" applyFont="1" applyFill="1" applyBorder="1" applyProtection="1"/>
    <xf numFmtId="37" fontId="14" fillId="0" borderId="137" xfId="1" applyNumberFormat="1" applyFont="1" applyFill="1" applyBorder="1" applyProtection="1"/>
    <xf numFmtId="5" fontId="19" fillId="0" borderId="148" xfId="0" applyNumberFormat="1" applyFont="1" applyFill="1" applyBorder="1" applyProtection="1"/>
    <xf numFmtId="165" fontId="14" fillId="0" borderId="141" xfId="1" applyNumberFormat="1" applyFont="1" applyFill="1" applyBorder="1" applyProtection="1"/>
    <xf numFmtId="6" fontId="19" fillId="0" borderId="141" xfId="0" applyNumberFormat="1" applyFont="1" applyFill="1" applyBorder="1" applyProtection="1"/>
    <xf numFmtId="164" fontId="19" fillId="0" borderId="141" xfId="1" applyNumberFormat="1" applyFont="1" applyFill="1" applyBorder="1" applyProtection="1"/>
    <xf numFmtId="5" fontId="19" fillId="0" borderId="141" xfId="0" applyNumberFormat="1" applyFont="1" applyFill="1" applyBorder="1" applyProtection="1"/>
    <xf numFmtId="37" fontId="14" fillId="0" borderId="138" xfId="1" applyNumberFormat="1" applyFont="1" applyFill="1" applyBorder="1" applyProtection="1"/>
    <xf numFmtId="5" fontId="19" fillId="17" borderId="137" xfId="0" applyNumberFormat="1" applyFont="1" applyFill="1" applyBorder="1" applyProtection="1"/>
    <xf numFmtId="165" fontId="14" fillId="0" borderId="138" xfId="1" applyNumberFormat="1" applyFont="1" applyFill="1" applyBorder="1" applyProtection="1"/>
    <xf numFmtId="6" fontId="19" fillId="0" borderId="148" xfId="0" applyNumberFormat="1" applyFont="1" applyFill="1" applyBorder="1" applyProtection="1"/>
    <xf numFmtId="164" fontId="19" fillId="0" borderId="148" xfId="1" applyNumberFormat="1" applyFont="1" applyFill="1" applyBorder="1" applyProtection="1"/>
    <xf numFmtId="6" fontId="19" fillId="0" borderId="84" xfId="0" applyNumberFormat="1" applyFont="1" applyFill="1" applyBorder="1" applyProtection="1"/>
    <xf numFmtId="6" fontId="43" fillId="0" borderId="141" xfId="0" applyNumberFormat="1" applyFont="1" applyFill="1" applyBorder="1" applyProtection="1"/>
    <xf numFmtId="37" fontId="14" fillId="0" borderId="141" xfId="1" applyNumberFormat="1" applyFont="1" applyFill="1" applyBorder="1" applyProtection="1"/>
    <xf numFmtId="165" fontId="14" fillId="0" borderId="148" xfId="1" applyNumberFormat="1" applyFont="1" applyFill="1" applyBorder="1" applyProtection="1"/>
    <xf numFmtId="37" fontId="14" fillId="0" borderId="148" xfId="1" applyNumberFormat="1" applyFont="1" applyFill="1" applyBorder="1" applyProtection="1"/>
    <xf numFmtId="5" fontId="52" fillId="0" borderId="171" xfId="0" applyNumberFormat="1" applyFont="1" applyFill="1" applyBorder="1" applyProtection="1"/>
    <xf numFmtId="6" fontId="52" fillId="0" borderId="171" xfId="0" applyNumberFormat="1" applyFont="1" applyFill="1" applyBorder="1" applyProtection="1"/>
    <xf numFmtId="164" fontId="52" fillId="0" borderId="171" xfId="1" applyNumberFormat="1" applyFont="1" applyFill="1" applyBorder="1" applyProtection="1"/>
    <xf numFmtId="164" fontId="21" fillId="0" borderId="171" xfId="1" applyNumberFormat="1" applyFont="1" applyFill="1" applyBorder="1" applyProtection="1"/>
    <xf numFmtId="5" fontId="21" fillId="0" borderId="171" xfId="0" applyNumberFormat="1" applyFont="1" applyFill="1" applyBorder="1" applyProtection="1"/>
    <xf numFmtId="6" fontId="21" fillId="0" borderId="171" xfId="0" applyNumberFormat="1" applyFont="1" applyBorder="1"/>
    <xf numFmtId="6" fontId="21" fillId="0" borderId="171" xfId="1" applyNumberFormat="1" applyFont="1" applyFill="1" applyBorder="1" applyProtection="1"/>
    <xf numFmtId="0" fontId="19" fillId="0" borderId="0" xfId="0" applyFont="1"/>
    <xf numFmtId="0" fontId="19" fillId="0" borderId="0" xfId="0" applyFont="1" applyFill="1" applyBorder="1" applyProtection="1"/>
    <xf numFmtId="0" fontId="21" fillId="0" borderId="0" xfId="0" applyFont="1" applyFill="1" applyBorder="1" applyAlignment="1" applyProtection="1">
      <alignment horizontal="center"/>
    </xf>
    <xf numFmtId="5" fontId="52" fillId="0" borderId="0" xfId="0" applyNumberFormat="1" applyFont="1" applyFill="1" applyBorder="1" applyProtection="1"/>
    <xf numFmtId="6" fontId="52" fillId="0" borderId="0" xfId="0" applyNumberFormat="1" applyFont="1" applyFill="1" applyBorder="1" applyProtection="1"/>
    <xf numFmtId="164" fontId="52" fillId="0" borderId="0" xfId="1" applyNumberFormat="1" applyFont="1" applyFill="1" applyBorder="1" applyProtection="1"/>
    <xf numFmtId="164" fontId="21" fillId="0" borderId="0" xfId="1" applyNumberFormat="1" applyFont="1" applyFill="1" applyBorder="1" applyProtection="1"/>
    <xf numFmtId="5" fontId="21" fillId="0" borderId="0" xfId="0" applyNumberFormat="1" applyFont="1" applyFill="1" applyBorder="1" applyProtection="1"/>
    <xf numFmtId="6" fontId="21" fillId="0" borderId="0" xfId="1" applyNumberFormat="1" applyFont="1" applyFill="1" applyBorder="1" applyProtection="1"/>
    <xf numFmtId="0" fontId="19" fillId="22" borderId="0" xfId="0" applyFont="1" applyFill="1" applyBorder="1" applyProtection="1"/>
    <xf numFmtId="0" fontId="19" fillId="22" borderId="0" xfId="0" applyFont="1" applyFill="1" applyBorder="1" applyAlignment="1" applyProtection="1">
      <alignment horizontal="center"/>
    </xf>
    <xf numFmtId="0" fontId="19" fillId="0" borderId="0" xfId="0" applyFont="1" applyBorder="1"/>
    <xf numFmtId="5" fontId="19" fillId="0" borderId="0" xfId="0" applyNumberFormat="1" applyFont="1" applyBorder="1" applyProtection="1"/>
    <xf numFmtId="3" fontId="14" fillId="0" borderId="0" xfId="0" applyNumberFormat="1" applyFont="1" applyFill="1" applyBorder="1" applyAlignment="1">
      <alignment horizontal="center"/>
    </xf>
    <xf numFmtId="3" fontId="14" fillId="0" borderId="0" xfId="0" applyNumberFormat="1" applyFont="1" applyFill="1" applyBorder="1" applyAlignment="1">
      <alignment horizontal="left"/>
    </xf>
    <xf numFmtId="5" fontId="14" fillId="0" borderId="0" xfId="0" applyNumberFormat="1" applyFont="1" applyBorder="1"/>
    <xf numFmtId="6" fontId="14" fillId="0" borderId="0" xfId="0" applyNumberFormat="1" applyFont="1" applyBorder="1"/>
    <xf numFmtId="3" fontId="36" fillId="0" borderId="0" xfId="0" applyNumberFormat="1" applyFont="1" applyFill="1" applyBorder="1" applyAlignment="1">
      <alignment horizontal="left"/>
    </xf>
    <xf numFmtId="0" fontId="14" fillId="0" borderId="0" xfId="0" quotePrefix="1" applyFont="1"/>
    <xf numFmtId="0" fontId="21" fillId="4" borderId="135" xfId="0" applyFont="1" applyFill="1" applyBorder="1" applyAlignment="1" applyProtection="1">
      <alignment vertical="center" wrapText="1"/>
    </xf>
    <xf numFmtId="0" fontId="21" fillId="4" borderId="135" xfId="0" applyFont="1" applyFill="1" applyBorder="1" applyAlignment="1" applyProtection="1">
      <alignment horizontal="center" vertical="center" wrapText="1"/>
    </xf>
    <xf numFmtId="0" fontId="21" fillId="14" borderId="135" xfId="0" applyFont="1" applyFill="1" applyBorder="1" applyAlignment="1">
      <alignment horizontal="center" vertical="center" wrapText="1"/>
    </xf>
    <xf numFmtId="0" fontId="21" fillId="4" borderId="138" xfId="0" applyFont="1" applyFill="1" applyBorder="1" applyAlignment="1" applyProtection="1">
      <alignment vertical="center"/>
    </xf>
    <xf numFmtId="165" fontId="18" fillId="2" borderId="136" xfId="0" applyNumberFormat="1" applyFont="1" applyFill="1" applyBorder="1" applyAlignment="1">
      <alignment horizontal="center" wrapText="1"/>
    </xf>
    <xf numFmtId="165" fontId="18" fillId="14" borderId="136" xfId="0" applyNumberFormat="1" applyFont="1" applyFill="1" applyBorder="1" applyAlignment="1">
      <alignment horizontal="center" wrapText="1"/>
    </xf>
    <xf numFmtId="37" fontId="14" fillId="0" borderId="137" xfId="6" applyNumberFormat="1" applyFont="1" applyFill="1" applyBorder="1" applyProtection="1"/>
    <xf numFmtId="5" fontId="19" fillId="4" borderId="137" xfId="0" applyNumberFormat="1" applyFont="1" applyFill="1" applyBorder="1" applyProtection="1"/>
    <xf numFmtId="37" fontId="14" fillId="0" borderId="138" xfId="6" applyNumberFormat="1" applyFont="1" applyFill="1" applyBorder="1" applyProtection="1"/>
    <xf numFmtId="5" fontId="19" fillId="4" borderId="141" xfId="0" applyNumberFormat="1" applyFont="1" applyFill="1" applyBorder="1" applyProtection="1"/>
    <xf numFmtId="37" fontId="14" fillId="0" borderId="141" xfId="6" applyNumberFormat="1" applyFont="1" applyFill="1" applyBorder="1" applyProtection="1"/>
    <xf numFmtId="37" fontId="14" fillId="0" borderId="148" xfId="6" applyNumberFormat="1" applyFont="1" applyFill="1" applyBorder="1" applyProtection="1"/>
    <xf numFmtId="5" fontId="19" fillId="4" borderId="148" xfId="0" applyNumberFormat="1" applyFont="1" applyFill="1" applyBorder="1" applyProtection="1"/>
    <xf numFmtId="164" fontId="21" fillId="0" borderId="171" xfId="6" applyNumberFormat="1" applyFont="1" applyFill="1" applyBorder="1" applyProtection="1"/>
    <xf numFmtId="5" fontId="21" fillId="4" borderId="171" xfId="0" applyNumberFormat="1" applyFont="1" applyFill="1" applyBorder="1" applyProtection="1"/>
    <xf numFmtId="0" fontId="19" fillId="0" borderId="173" xfId="0" applyFont="1" applyFill="1" applyBorder="1" applyProtection="1"/>
    <xf numFmtId="0" fontId="14" fillId="0" borderId="173" xfId="0" applyFont="1" applyFill="1" applyBorder="1" applyAlignment="1" applyProtection="1">
      <alignment horizontal="left"/>
    </xf>
    <xf numFmtId="37" fontId="14" fillId="0" borderId="173" xfId="6" applyNumberFormat="1" applyFont="1" applyFill="1" applyBorder="1" applyProtection="1"/>
    <xf numFmtId="5" fontId="19" fillId="0" borderId="173" xfId="0" applyNumberFormat="1" applyFont="1" applyFill="1" applyBorder="1" applyProtection="1"/>
    <xf numFmtId="164" fontId="14" fillId="0" borderId="173" xfId="6" applyNumberFormat="1" applyFont="1" applyFill="1" applyBorder="1" applyProtection="1"/>
    <xf numFmtId="5" fontId="19" fillId="4" borderId="173" xfId="0" applyNumberFormat="1" applyFont="1" applyFill="1" applyBorder="1" applyProtection="1"/>
    <xf numFmtId="0" fontId="19" fillId="0" borderId="138" xfId="0" applyFont="1" applyFill="1" applyBorder="1" applyProtection="1"/>
    <xf numFmtId="0" fontId="14" fillId="0" borderId="138" xfId="0" applyFont="1" applyFill="1" applyBorder="1" applyAlignment="1" applyProtection="1">
      <alignment horizontal="left"/>
    </xf>
    <xf numFmtId="5" fontId="19" fillId="0" borderId="138" xfId="0" applyNumberFormat="1" applyFont="1" applyFill="1" applyBorder="1" applyProtection="1"/>
    <xf numFmtId="5" fontId="19" fillId="4" borderId="138" xfId="0" applyNumberFormat="1" applyFont="1" applyFill="1" applyBorder="1" applyProtection="1"/>
    <xf numFmtId="0" fontId="19" fillId="0" borderId="161" xfId="0" applyFont="1" applyFill="1" applyBorder="1" applyProtection="1"/>
    <xf numFmtId="0" fontId="21" fillId="0" borderId="161" xfId="0" applyFont="1" applyFill="1" applyBorder="1" applyAlignment="1" applyProtection="1">
      <alignment horizontal="center"/>
    </xf>
    <xf numFmtId="164" fontId="21" fillId="0" borderId="161" xfId="6" applyNumberFormat="1" applyFont="1" applyFill="1" applyBorder="1" applyProtection="1"/>
    <xf numFmtId="5" fontId="21" fillId="0" borderId="161" xfId="0" applyNumberFormat="1" applyFont="1" applyFill="1" applyBorder="1" applyProtection="1"/>
    <xf numFmtId="5" fontId="21" fillId="4" borderId="161" xfId="0" applyNumberFormat="1" applyFont="1" applyFill="1" applyBorder="1" applyProtection="1"/>
    <xf numFmtId="3" fontId="14" fillId="0" borderId="174" xfId="0" applyNumberFormat="1" applyFont="1" applyFill="1" applyBorder="1" applyAlignment="1">
      <alignment horizontal="center"/>
    </xf>
    <xf numFmtId="165" fontId="21" fillId="0" borderId="161" xfId="6" applyNumberFormat="1" applyFont="1" applyFill="1" applyBorder="1" applyProtection="1"/>
    <xf numFmtId="5" fontId="21" fillId="0" borderId="161" xfId="6" applyNumberFormat="1" applyFont="1" applyFill="1" applyBorder="1" applyProtection="1"/>
    <xf numFmtId="5" fontId="19" fillId="4" borderId="174" xfId="0" applyNumberFormat="1" applyFont="1" applyFill="1" applyBorder="1" applyProtection="1"/>
    <xf numFmtId="0" fontId="1" fillId="0" borderId="0" xfId="0" applyFont="1" applyFill="1" applyAlignment="1">
      <alignment horizontal="left" vertical="top" wrapText="1"/>
    </xf>
    <xf numFmtId="0" fontId="35" fillId="0" borderId="0" xfId="0" quotePrefix="1" applyFont="1" applyAlignment="1">
      <alignment horizontal="center" wrapText="1"/>
    </xf>
    <xf numFmtId="0" fontId="35" fillId="0" borderId="60" xfId="0" quotePrefix="1" applyFont="1" applyBorder="1" applyAlignment="1">
      <alignment horizontal="center" wrapText="1"/>
    </xf>
    <xf numFmtId="0" fontId="50" fillId="23" borderId="60" xfId="0" applyFont="1" applyFill="1" applyBorder="1" applyAlignment="1" applyProtection="1">
      <alignment vertical="center" wrapText="1"/>
    </xf>
    <xf numFmtId="0" fontId="50" fillId="23" borderId="0" xfId="0" applyFont="1" applyFill="1" applyBorder="1" applyAlignment="1" applyProtection="1">
      <alignment vertical="center" wrapText="1"/>
    </xf>
    <xf numFmtId="0" fontId="10" fillId="4" borderId="138" xfId="0" applyFont="1" applyFill="1" applyBorder="1" applyAlignment="1">
      <alignment horizontal="center" wrapText="1"/>
    </xf>
    <xf numFmtId="0" fontId="0" fillId="10" borderId="136" xfId="0" applyFill="1" applyBorder="1"/>
    <xf numFmtId="1" fontId="18" fillId="10" borderId="136" xfId="0" quotePrefix="1" applyNumberFormat="1" applyFont="1" applyFill="1" applyBorder="1" applyAlignment="1">
      <alignment horizontal="center"/>
    </xf>
    <xf numFmtId="0" fontId="19" fillId="0" borderId="138" xfId="0" applyFont="1" applyBorder="1" applyAlignment="1">
      <alignment wrapText="1"/>
    </xf>
    <xf numFmtId="3" fontId="0" fillId="0" borderId="138" xfId="0" applyNumberFormat="1" applyFill="1" applyBorder="1"/>
    <xf numFmtId="6" fontId="0" fillId="0" borderId="138" xfId="0" applyNumberFormat="1" applyBorder="1"/>
    <xf numFmtId="6" fontId="0" fillId="2" borderId="138" xfId="0" applyNumberFormat="1" applyFill="1" applyBorder="1"/>
    <xf numFmtId="6" fontId="0" fillId="8" borderId="138" xfId="0" applyNumberFormat="1" applyFill="1" applyBorder="1"/>
    <xf numFmtId="0" fontId="19" fillId="0" borderId="137" xfId="0" applyFont="1" applyBorder="1" applyAlignment="1">
      <alignment horizontal="left" wrapText="1"/>
    </xf>
    <xf numFmtId="0" fontId="21" fillId="0" borderId="161" xfId="0" applyFont="1" applyBorder="1"/>
    <xf numFmtId="37" fontId="21" fillId="0" borderId="161" xfId="1" applyNumberFormat="1" applyFont="1" applyBorder="1"/>
    <xf numFmtId="8" fontId="21" fillId="0" borderId="161" xfId="0" applyNumberFormat="1" applyFont="1" applyBorder="1"/>
    <xf numFmtId="6" fontId="21" fillId="0" borderId="161" xfId="0" applyNumberFormat="1" applyFont="1" applyBorder="1"/>
    <xf numFmtId="6" fontId="21" fillId="2" borderId="161" xfId="0" applyNumberFormat="1" applyFont="1" applyFill="1" applyBorder="1"/>
    <xf numFmtId="6" fontId="21" fillId="8" borderId="161" xfId="0" applyNumberFormat="1" applyFont="1" applyFill="1" applyBorder="1"/>
    <xf numFmtId="0" fontId="21" fillId="0" borderId="0" xfId="0" applyFont="1" applyBorder="1"/>
    <xf numFmtId="37" fontId="21" fillId="0" borderId="0" xfId="1" applyNumberFormat="1" applyFont="1" applyBorder="1"/>
    <xf numFmtId="8" fontId="21" fillId="0" borderId="0" xfId="0" applyNumberFormat="1" applyFont="1" applyBorder="1"/>
    <xf numFmtId="0" fontId="0" fillId="10" borderId="138" xfId="0" applyFill="1" applyBorder="1"/>
    <xf numFmtId="1" fontId="18" fillId="10" borderId="138" xfId="0" quotePrefix="1" applyNumberFormat="1" applyFont="1" applyFill="1" applyBorder="1" applyAlignment="1">
      <alignment horizontal="center"/>
    </xf>
    <xf numFmtId="1" fontId="18" fillId="10" borderId="138" xfId="0" quotePrefix="1" applyNumberFormat="1" applyFont="1" applyFill="1" applyBorder="1" applyAlignment="1">
      <alignment horizontal="center" wrapText="1"/>
    </xf>
    <xf numFmtId="3" fontId="0" fillId="25" borderId="138" xfId="0" applyNumberFormat="1" applyFill="1" applyBorder="1"/>
    <xf numFmtId="0" fontId="19" fillId="18" borderId="0" xfId="0" applyFont="1" applyFill="1"/>
    <xf numFmtId="0" fontId="54" fillId="18" borderId="0" xfId="0" applyFont="1" applyFill="1"/>
    <xf numFmtId="0" fontId="0" fillId="18" borderId="0" xfId="0" applyFill="1"/>
    <xf numFmtId="165" fontId="37" fillId="7" borderId="155" xfId="1" applyNumberFormat="1" applyFont="1" applyFill="1" applyBorder="1" applyAlignment="1">
      <alignment horizontal="center"/>
    </xf>
    <xf numFmtId="0" fontId="0" fillId="0" borderId="0" xfId="0" applyFill="1"/>
    <xf numFmtId="0" fontId="35" fillId="0" borderId="0" xfId="0" quotePrefix="1" applyFont="1" applyFill="1" applyAlignment="1">
      <alignment horizontal="center" wrapText="1"/>
    </xf>
    <xf numFmtId="0" fontId="21" fillId="0" borderId="0" xfId="0" applyFont="1" applyFill="1" applyBorder="1" applyAlignment="1">
      <alignment horizontal="center" vertical="center" wrapText="1"/>
    </xf>
    <xf numFmtId="0" fontId="10" fillId="4" borderId="138" xfId="0" applyFont="1" applyFill="1" applyBorder="1" applyAlignment="1">
      <alignment horizontal="center" vertical="center" wrapText="1"/>
    </xf>
    <xf numFmtId="0" fontId="10" fillId="0" borderId="0" xfId="0" applyFont="1" applyFill="1" applyBorder="1" applyAlignment="1">
      <alignment horizontal="center" wrapText="1"/>
    </xf>
    <xf numFmtId="0" fontId="14" fillId="10" borderId="136" xfId="0" applyFont="1" applyFill="1" applyBorder="1"/>
    <xf numFmtId="1" fontId="18" fillId="0" borderId="0" xfId="0" quotePrefix="1" applyNumberFormat="1" applyFont="1" applyFill="1" applyBorder="1" applyAlignment="1">
      <alignment horizontal="center"/>
    </xf>
    <xf numFmtId="0" fontId="14" fillId="0" borderId="136" xfId="0" applyFont="1" applyBorder="1" applyAlignment="1">
      <alignment horizontal="left" wrapText="1"/>
    </xf>
    <xf numFmtId="0" fontId="54" fillId="0" borderId="136" xfId="0" applyFont="1" applyBorder="1" applyAlignment="1">
      <alignment horizontal="left" wrapText="1"/>
    </xf>
    <xf numFmtId="3" fontId="26" fillId="0" borderId="138" xfId="0" applyNumberFormat="1" applyFont="1" applyFill="1" applyBorder="1"/>
    <xf numFmtId="6" fontId="26" fillId="0" borderId="138" xfId="0" applyNumberFormat="1" applyFont="1" applyBorder="1"/>
    <xf numFmtId="6" fontId="26" fillId="2" borderId="138" xfId="0" applyNumberFormat="1" applyFont="1" applyFill="1" applyBorder="1"/>
    <xf numFmtId="6" fontId="26" fillId="0" borderId="138" xfId="0" applyNumberFormat="1" applyFont="1" applyBorder="1" applyAlignment="1">
      <alignment horizontal="center" wrapText="1"/>
    </xf>
    <xf numFmtId="6" fontId="26" fillId="2" borderId="138" xfId="0" applyNumberFormat="1" applyFont="1" applyFill="1" applyBorder="1" applyAlignment="1">
      <alignment horizontal="center"/>
    </xf>
    <xf numFmtId="6" fontId="26" fillId="8" borderId="138" xfId="0" applyNumberFormat="1" applyFont="1" applyFill="1" applyBorder="1" applyAlignment="1">
      <alignment horizontal="right" wrapText="1"/>
    </xf>
    <xf numFmtId="0" fontId="14" fillId="8" borderId="110" xfId="0" applyFont="1" applyFill="1" applyBorder="1" applyAlignment="1">
      <alignment horizontal="right"/>
    </xf>
    <xf numFmtId="0" fontId="14" fillId="0" borderId="138" xfId="0" applyFont="1" applyBorder="1" applyAlignment="1">
      <alignment wrapText="1"/>
    </xf>
    <xf numFmtId="0" fontId="26" fillId="0" borderId="138" xfId="0" applyFont="1" applyBorder="1" applyAlignment="1">
      <alignment wrapText="1"/>
    </xf>
    <xf numFmtId="6" fontId="26" fillId="8" borderId="138" xfId="0" applyNumberFormat="1" applyFont="1" applyFill="1" applyBorder="1"/>
    <xf numFmtId="6" fontId="26" fillId="0" borderId="0" xfId="0" applyNumberFormat="1" applyFont="1"/>
    <xf numFmtId="6" fontId="14" fillId="0" borderId="0" xfId="0" applyNumberFormat="1" applyFont="1" applyFill="1" applyBorder="1" applyAlignment="1">
      <alignment horizontal="right"/>
    </xf>
    <xf numFmtId="165" fontId="14" fillId="0" borderId="0" xfId="0" applyNumberFormat="1" applyFont="1" applyFill="1" applyBorder="1" applyAlignment="1">
      <alignment horizontal="right"/>
    </xf>
    <xf numFmtId="0" fontId="14" fillId="8" borderId="110" xfId="0" applyFont="1" applyFill="1" applyBorder="1"/>
    <xf numFmtId="0" fontId="54" fillId="0" borderId="138" xfId="0" applyFont="1" applyBorder="1" applyAlignment="1">
      <alignment wrapText="1"/>
    </xf>
    <xf numFmtId="6" fontId="26" fillId="3" borderId="138" xfId="0" applyNumberFormat="1" applyFont="1" applyFill="1" applyBorder="1"/>
    <xf numFmtId="0" fontId="59" fillId="0" borderId="136" xfId="0" applyFont="1" applyFill="1" applyBorder="1" applyAlignment="1">
      <alignment horizontal="left" wrapText="1"/>
    </xf>
    <xf numFmtId="0" fontId="60" fillId="0" borderId="136" xfId="0" applyFont="1" applyFill="1" applyBorder="1" applyAlignment="1">
      <alignment horizontal="left" wrapText="1"/>
    </xf>
    <xf numFmtId="38" fontId="60" fillId="3" borderId="136" xfId="0" applyNumberFormat="1" applyFont="1" applyFill="1" applyBorder="1" applyAlignment="1">
      <alignment wrapText="1"/>
    </xf>
    <xf numFmtId="6" fontId="26" fillId="0" borderId="136" xfId="0" applyNumberFormat="1" applyFont="1" applyBorder="1"/>
    <xf numFmtId="6" fontId="26" fillId="3" borderId="136" xfId="0" applyNumberFormat="1" applyFont="1" applyFill="1" applyBorder="1"/>
    <xf numFmtId="6" fontId="26" fillId="2" borderId="136" xfId="0" applyNumberFormat="1" applyFont="1" applyFill="1" applyBorder="1"/>
    <xf numFmtId="6" fontId="26" fillId="8" borderId="136" xfId="0" applyNumberFormat="1" applyFont="1" applyFill="1" applyBorder="1"/>
    <xf numFmtId="0" fontId="59" fillId="0" borderId="138" xfId="0" applyFont="1" applyFill="1" applyBorder="1" applyAlignment="1">
      <alignment horizontal="left" wrapText="1"/>
    </xf>
    <xf numFmtId="0" fontId="60" fillId="0" borderId="138" xfId="0" applyFont="1" applyFill="1" applyBorder="1" applyAlignment="1">
      <alignment horizontal="left" wrapText="1"/>
    </xf>
    <xf numFmtId="38" fontId="60" fillId="3" borderId="138" xfId="0" applyNumberFormat="1" applyFont="1" applyFill="1" applyBorder="1" applyAlignment="1">
      <alignment wrapText="1"/>
    </xf>
    <xf numFmtId="0" fontId="59" fillId="3" borderId="136" xfId="0" applyFont="1" applyFill="1" applyBorder="1" applyAlignment="1">
      <alignment horizontal="left" wrapText="1"/>
    </xf>
    <xf numFmtId="0" fontId="60" fillId="3" borderId="136" xfId="0" applyFont="1" applyFill="1" applyBorder="1" applyAlignment="1">
      <alignment horizontal="left" wrapText="1"/>
    </xf>
    <xf numFmtId="3" fontId="26" fillId="3" borderId="136" xfId="0" applyNumberFormat="1" applyFont="1" applyFill="1" applyBorder="1"/>
    <xf numFmtId="0" fontId="59" fillId="26" borderId="138" xfId="0" applyFont="1" applyFill="1" applyBorder="1" applyAlignment="1">
      <alignment horizontal="left" wrapText="1"/>
    </xf>
    <xf numFmtId="0" fontId="60" fillId="26" borderId="138" xfId="0" applyFont="1" applyFill="1" applyBorder="1" applyAlignment="1">
      <alignment horizontal="left" wrapText="1"/>
    </xf>
    <xf numFmtId="3" fontId="26" fillId="3" borderId="138" xfId="0" applyNumberFormat="1" applyFont="1" applyFill="1" applyBorder="1"/>
    <xf numFmtId="3" fontId="54" fillId="0" borderId="138" xfId="0" applyNumberFormat="1" applyFont="1" applyFill="1" applyBorder="1"/>
    <xf numFmtId="6" fontId="54" fillId="0" borderId="138" xfId="0" applyNumberFormat="1" applyFont="1" applyBorder="1"/>
    <xf numFmtId="6" fontId="54" fillId="0" borderId="138" xfId="0" applyNumberFormat="1" applyFont="1" applyFill="1" applyBorder="1"/>
    <xf numFmtId="3" fontId="54" fillId="2" borderId="138" xfId="0" applyNumberFormat="1" applyFont="1" applyFill="1" applyBorder="1"/>
    <xf numFmtId="6" fontId="54" fillId="2" borderId="138" xfId="0" applyNumberFormat="1" applyFont="1" applyFill="1" applyBorder="1"/>
    <xf numFmtId="165" fontId="54" fillId="2" borderId="138" xfId="0" applyNumberFormat="1" applyFont="1" applyFill="1" applyBorder="1"/>
    <xf numFmtId="6" fontId="54" fillId="0" borderId="136" xfId="0" applyNumberFormat="1" applyFont="1" applyBorder="1"/>
    <xf numFmtId="6" fontId="54" fillId="2" borderId="136" xfId="0" applyNumberFormat="1" applyFont="1" applyFill="1" applyBorder="1"/>
    <xf numFmtId="6" fontId="54" fillId="8" borderId="136" xfId="0" applyNumberFormat="1" applyFont="1" applyFill="1" applyBorder="1"/>
    <xf numFmtId="6" fontId="19" fillId="0" borderId="0" xfId="0" applyNumberFormat="1" applyFont="1" applyFill="1" applyBorder="1" applyAlignment="1">
      <alignment horizontal="right"/>
    </xf>
    <xf numFmtId="165" fontId="19" fillId="0" borderId="0" xfId="0" applyNumberFormat="1" applyFont="1" applyFill="1" applyBorder="1" applyAlignment="1">
      <alignment horizontal="right"/>
    </xf>
    <xf numFmtId="6" fontId="54" fillId="3" borderId="136" xfId="0" applyNumberFormat="1" applyFont="1" applyFill="1" applyBorder="1"/>
    <xf numFmtId="0" fontId="62" fillId="15" borderId="134" xfId="0" applyFont="1" applyFill="1" applyBorder="1" applyAlignment="1">
      <alignment horizontal="left" wrapText="1"/>
    </xf>
    <xf numFmtId="0" fontId="63" fillId="15" borderId="134" xfId="0" applyFont="1" applyFill="1" applyBorder="1" applyAlignment="1">
      <alignment horizontal="left" wrapText="1"/>
    </xf>
    <xf numFmtId="164" fontId="54" fillId="15" borderId="99" xfId="1" applyNumberFormat="1" applyFont="1" applyFill="1" applyBorder="1"/>
    <xf numFmtId="6" fontId="26" fillId="15" borderId="99" xfId="0" applyNumberFormat="1" applyFont="1" applyFill="1" applyBorder="1"/>
    <xf numFmtId="6" fontId="54" fillId="15" borderId="99" xfId="0" applyNumberFormat="1" applyFont="1" applyFill="1" applyBorder="1"/>
    <xf numFmtId="6" fontId="54" fillId="8" borderId="110" xfId="0" applyNumberFormat="1" applyFont="1" applyFill="1" applyBorder="1"/>
    <xf numFmtId="0" fontId="19" fillId="0" borderId="161" xfId="0" applyFont="1" applyBorder="1" applyAlignment="1">
      <alignment horizontal="right" wrapText="1"/>
    </xf>
    <xf numFmtId="0" fontId="64" fillId="0" borderId="161" xfId="0" applyFont="1" applyBorder="1" applyAlignment="1">
      <alignment horizontal="right" wrapText="1"/>
    </xf>
    <xf numFmtId="3" fontId="54" fillId="0" borderId="161" xfId="0" applyNumberFormat="1" applyFont="1" applyFill="1" applyBorder="1"/>
    <xf numFmtId="8" fontId="54" fillId="0" borderId="161" xfId="0" applyNumberFormat="1" applyFont="1" applyBorder="1"/>
    <xf numFmtId="165" fontId="54" fillId="0" borderId="161" xfId="0" applyNumberFormat="1" applyFont="1" applyBorder="1"/>
    <xf numFmtId="165" fontId="54" fillId="2" borderId="161" xfId="0" applyNumberFormat="1" applyFont="1" applyFill="1" applyBorder="1"/>
    <xf numFmtId="6" fontId="54" fillId="2" borderId="161" xfId="0" applyNumberFormat="1" applyFont="1" applyFill="1" applyBorder="1"/>
    <xf numFmtId="6" fontId="54" fillId="0" borderId="161" xfId="0" applyNumberFormat="1" applyFont="1" applyBorder="1"/>
    <xf numFmtId="6" fontId="54" fillId="8" borderId="161" xfId="0" applyNumberFormat="1" applyFont="1" applyFill="1" applyBorder="1"/>
    <xf numFmtId="165" fontId="54" fillId="3" borderId="161" xfId="0" applyNumberFormat="1" applyFont="1" applyFill="1" applyBorder="1"/>
    <xf numFmtId="0" fontId="19" fillId="0" borderId="0" xfId="0" applyFont="1" applyBorder="1" applyAlignment="1">
      <alignment wrapText="1"/>
    </xf>
    <xf numFmtId="3" fontId="0" fillId="0" borderId="0" xfId="0" applyNumberFormat="1" applyFill="1" applyBorder="1"/>
    <xf numFmtId="8" fontId="0" fillId="0" borderId="0" xfId="0" applyNumberFormat="1" applyBorder="1"/>
    <xf numFmtId="6" fontId="0" fillId="0" borderId="0" xfId="0" applyNumberFormat="1" applyBorder="1"/>
    <xf numFmtId="6" fontId="0" fillId="0" borderId="175" xfId="0" applyNumberFormat="1" applyFill="1" applyBorder="1" applyAlignment="1">
      <alignment horizontal="center"/>
    </xf>
    <xf numFmtId="6" fontId="0" fillId="0" borderId="0" xfId="0" applyNumberFormat="1" applyFill="1" applyBorder="1" applyAlignment="1">
      <alignment horizontal="center"/>
    </xf>
    <xf numFmtId="0" fontId="51" fillId="0" borderId="0" xfId="0" applyFont="1" applyBorder="1" applyAlignment="1">
      <alignment horizontal="left" wrapText="1"/>
    </xf>
    <xf numFmtId="6" fontId="14" fillId="0" borderId="0" xfId="0" applyNumberFormat="1" applyFont="1" applyBorder="1" applyAlignment="1">
      <alignment horizontal="right"/>
    </xf>
    <xf numFmtId="165" fontId="14" fillId="0" borderId="0" xfId="0" applyNumberFormat="1" applyFont="1" applyBorder="1" applyAlignment="1">
      <alignment horizontal="right"/>
    </xf>
    <xf numFmtId="0" fontId="54" fillId="0" borderId="0" xfId="0" applyFont="1"/>
    <xf numFmtId="0" fontId="66" fillId="18" borderId="0" xfId="0" applyFont="1" applyFill="1" applyAlignment="1">
      <alignment horizontal="center" vertical="center" wrapText="1"/>
    </xf>
    <xf numFmtId="0" fontId="66" fillId="0" borderId="0" xfId="0" applyFont="1" applyFill="1" applyAlignment="1">
      <alignment vertical="center"/>
    </xf>
    <xf numFmtId="165" fontId="37" fillId="0" borderId="60" xfId="1" applyNumberFormat="1" applyFont="1" applyFill="1" applyBorder="1" applyAlignment="1">
      <alignment horizontal="center"/>
    </xf>
    <xf numFmtId="0" fontId="54" fillId="3" borderId="0" xfId="0" applyFont="1" applyFill="1" applyBorder="1" applyAlignment="1">
      <alignment horizontal="center" vertical="center"/>
    </xf>
    <xf numFmtId="0" fontId="50" fillId="0" borderId="110" xfId="0" applyFont="1" applyFill="1" applyBorder="1" applyAlignment="1" applyProtection="1">
      <alignment horizontal="center" vertical="center" wrapText="1"/>
    </xf>
    <xf numFmtId="0" fontId="21" fillId="32" borderId="135" xfId="0" applyFont="1" applyFill="1" applyBorder="1" applyAlignment="1">
      <alignment horizontal="center" vertical="center" wrapText="1"/>
    </xf>
    <xf numFmtId="10" fontId="21" fillId="28" borderId="136" xfId="0" applyNumberFormat="1" applyFont="1" applyFill="1" applyBorder="1" applyAlignment="1">
      <alignment horizontal="center" vertical="center" wrapText="1"/>
    </xf>
    <xf numFmtId="0" fontId="21" fillId="32" borderId="138" xfId="0" applyFont="1" applyFill="1" applyBorder="1" applyAlignment="1">
      <alignment horizontal="center" vertical="center" wrapText="1"/>
    </xf>
    <xf numFmtId="0" fontId="26" fillId="0" borderId="176" xfId="0" applyFont="1" applyFill="1" applyBorder="1" applyAlignment="1">
      <alignment horizontal="left" wrapText="1"/>
    </xf>
    <xf numFmtId="3" fontId="26" fillId="3" borderId="176" xfId="0" applyNumberFormat="1" applyFont="1" applyFill="1" applyBorder="1" applyAlignment="1">
      <alignment horizontal="right" wrapText="1"/>
    </xf>
    <xf numFmtId="6" fontId="26" fillId="0" borderId="176" xfId="0" applyNumberFormat="1" applyFont="1" applyBorder="1" applyAlignment="1">
      <alignment horizontal="right"/>
    </xf>
    <xf numFmtId="6" fontId="26" fillId="0" borderId="138" xfId="0" applyNumberFormat="1" applyFont="1" applyBorder="1" applyAlignment="1">
      <alignment horizontal="right"/>
    </xf>
    <xf numFmtId="6" fontId="26" fillId="3" borderId="138" xfId="0" applyNumberFormat="1" applyFont="1" applyFill="1" applyBorder="1" applyAlignment="1">
      <alignment horizontal="right"/>
    </xf>
    <xf numFmtId="0" fontId="26" fillId="0" borderId="138" xfId="0" applyFont="1" applyFill="1" applyBorder="1" applyAlignment="1">
      <alignment horizontal="center" wrapText="1"/>
    </xf>
    <xf numFmtId="6" fontId="26" fillId="2" borderId="138" xfId="0" applyNumberFormat="1" applyFont="1" applyFill="1" applyBorder="1" applyAlignment="1">
      <alignment horizontal="center" wrapText="1"/>
    </xf>
    <xf numFmtId="6" fontId="26" fillId="0" borderId="138" xfId="0" applyNumberFormat="1" applyFont="1" applyFill="1" applyBorder="1" applyAlignment="1">
      <alignment horizontal="right" wrapText="1"/>
    </xf>
    <xf numFmtId="6" fontId="26" fillId="0" borderId="138" xfId="0" applyNumberFormat="1" applyFont="1" applyFill="1" applyBorder="1" applyAlignment="1">
      <alignment horizontal="center" wrapText="1"/>
    </xf>
    <xf numFmtId="0" fontId="26" fillId="32" borderId="138" xfId="0" applyFont="1" applyFill="1" applyBorder="1" applyAlignment="1">
      <alignment horizontal="center" wrapText="1"/>
    </xf>
    <xf numFmtId="0" fontId="54" fillId="15" borderId="176" xfId="0" applyFont="1" applyFill="1" applyBorder="1" applyAlignment="1">
      <alignment horizontal="center" wrapText="1"/>
    </xf>
    <xf numFmtId="0" fontId="58" fillId="15" borderId="176" xfId="0" applyFont="1" applyFill="1" applyBorder="1" applyAlignment="1">
      <alignment horizontal="right" wrapText="1"/>
    </xf>
    <xf numFmtId="0" fontId="58" fillId="15" borderId="176" xfId="0" applyFont="1" applyFill="1" applyBorder="1" applyAlignment="1">
      <alignment horizontal="left" wrapText="1"/>
    </xf>
    <xf numFmtId="0" fontId="58" fillId="15" borderId="138" xfId="0" applyFont="1" applyFill="1" applyBorder="1" applyAlignment="1">
      <alignment horizontal="right" wrapText="1"/>
    </xf>
    <xf numFmtId="0" fontId="0" fillId="0" borderId="159" xfId="0" applyBorder="1"/>
    <xf numFmtId="0" fontId="0" fillId="0" borderId="135" xfId="0" applyBorder="1"/>
    <xf numFmtId="0" fontId="0" fillId="32" borderId="135" xfId="0" applyFill="1" applyBorder="1"/>
    <xf numFmtId="0" fontId="26" fillId="0" borderId="176" xfId="0" applyFont="1" applyBorder="1" applyAlignment="1">
      <alignment horizontal="left" wrapText="1"/>
    </xf>
    <xf numFmtId="3" fontId="26" fillId="3" borderId="176" xfId="0" applyNumberFormat="1" applyFont="1" applyFill="1" applyBorder="1" applyAlignment="1">
      <alignment horizontal="right"/>
    </xf>
    <xf numFmtId="6" fontId="26" fillId="2" borderId="138" xfId="0" applyNumberFormat="1" applyFont="1" applyFill="1" applyBorder="1" applyAlignment="1">
      <alignment horizontal="right"/>
    </xf>
    <xf numFmtId="6" fontId="26" fillId="0" borderId="138" xfId="0" applyNumberFormat="1" applyFont="1" applyFill="1" applyBorder="1" applyAlignment="1">
      <alignment horizontal="right"/>
    </xf>
    <xf numFmtId="38" fontId="26" fillId="0" borderId="138" xfId="0" applyNumberFormat="1" applyFont="1" applyBorder="1" applyAlignment="1">
      <alignment horizontal="right"/>
    </xf>
    <xf numFmtId="6" fontId="26" fillId="32" borderId="138" xfId="0" applyNumberFormat="1" applyFont="1" applyFill="1" applyBorder="1" applyAlignment="1">
      <alignment horizontal="right"/>
    </xf>
    <xf numFmtId="0" fontId="26" fillId="28" borderId="176" xfId="0" applyFont="1" applyFill="1" applyBorder="1" applyAlignment="1">
      <alignment horizontal="left" wrapText="1"/>
    </xf>
    <xf numFmtId="3" fontId="26" fillId="0" borderId="176" xfId="0" applyNumberFormat="1" applyFont="1" applyFill="1" applyBorder="1" applyAlignment="1">
      <alignment horizontal="right"/>
    </xf>
    <xf numFmtId="0" fontId="54" fillId="0" borderId="176" xfId="0" applyFont="1" applyBorder="1" applyAlignment="1">
      <alignment horizontal="right" wrapText="1"/>
    </xf>
    <xf numFmtId="3" fontId="54" fillId="0" borderId="176" xfId="0" applyNumberFormat="1" applyFont="1" applyFill="1" applyBorder="1" applyAlignment="1">
      <alignment horizontal="right"/>
    </xf>
    <xf numFmtId="6" fontId="54" fillId="0" borderId="176" xfId="0" applyNumberFormat="1" applyFont="1" applyBorder="1" applyAlignment="1">
      <alignment horizontal="right"/>
    </xf>
    <xf numFmtId="6" fontId="54" fillId="0" borderId="138" xfId="0" applyNumberFormat="1" applyFont="1" applyBorder="1" applyAlignment="1">
      <alignment horizontal="right"/>
    </xf>
    <xf numFmtId="6" fontId="54" fillId="3" borderId="138" xfId="0" applyNumberFormat="1" applyFont="1" applyFill="1" applyBorder="1" applyAlignment="1">
      <alignment horizontal="right"/>
    </xf>
    <xf numFmtId="38" fontId="54" fillId="0" borderId="138" xfId="0" applyNumberFormat="1" applyFont="1" applyBorder="1" applyAlignment="1">
      <alignment horizontal="right"/>
    </xf>
    <xf numFmtId="6" fontId="54" fillId="32" borderId="138" xfId="0" applyNumberFormat="1" applyFont="1" applyFill="1" applyBorder="1" applyAlignment="1">
      <alignment horizontal="right"/>
    </xf>
    <xf numFmtId="0" fontId="54" fillId="8" borderId="176" xfId="0" applyFont="1" applyFill="1" applyBorder="1" applyAlignment="1">
      <alignment horizontal="right" wrapText="1"/>
    </xf>
    <xf numFmtId="3" fontId="54" fillId="8" borderId="110" xfId="0" applyNumberFormat="1" applyFont="1" applyFill="1" applyBorder="1" applyAlignment="1">
      <alignment horizontal="right"/>
    </xf>
    <xf numFmtId="6" fontId="54" fillId="8" borderId="136" xfId="0" applyNumberFormat="1" applyFont="1" applyFill="1" applyBorder="1" applyAlignment="1">
      <alignment horizontal="right"/>
    </xf>
    <xf numFmtId="165" fontId="54" fillId="8" borderId="136" xfId="0" applyNumberFormat="1" applyFont="1" applyFill="1" applyBorder="1" applyAlignment="1">
      <alignment horizontal="right"/>
    </xf>
    <xf numFmtId="0" fontId="54" fillId="33" borderId="176" xfId="0" applyFont="1" applyFill="1" applyBorder="1" applyAlignment="1">
      <alignment horizontal="right" wrapText="1"/>
    </xf>
    <xf numFmtId="3" fontId="26" fillId="33" borderId="60" xfId="0" applyNumberFormat="1" applyFont="1" applyFill="1" applyBorder="1" applyAlignment="1">
      <alignment horizontal="right"/>
    </xf>
    <xf numFmtId="6" fontId="26" fillId="33" borderId="60" xfId="0" applyNumberFormat="1" applyFont="1" applyFill="1" applyBorder="1" applyAlignment="1">
      <alignment horizontal="right"/>
    </xf>
    <xf numFmtId="0" fontId="54" fillId="0" borderId="176" xfId="0" applyFont="1" applyFill="1" applyBorder="1" applyAlignment="1">
      <alignment horizontal="left" wrapText="1"/>
    </xf>
    <xf numFmtId="3" fontId="26" fillId="0" borderId="176" xfId="0" applyNumberFormat="1" applyFont="1" applyFill="1" applyBorder="1" applyAlignment="1">
      <alignment horizontal="right" wrapText="1"/>
    </xf>
    <xf numFmtId="0" fontId="58" fillId="8" borderId="138" xfId="0" applyFont="1" applyFill="1" applyBorder="1" applyAlignment="1">
      <alignment horizontal="right" wrapText="1"/>
    </xf>
    <xf numFmtId="0" fontId="58" fillId="2" borderId="138" xfId="0" applyFont="1" applyFill="1" applyBorder="1" applyAlignment="1">
      <alignment horizontal="right" wrapText="1"/>
    </xf>
    <xf numFmtId="0" fontId="58" fillId="0" borderId="138" xfId="0" applyFont="1" applyFill="1" applyBorder="1" applyAlignment="1">
      <alignment horizontal="right" wrapText="1"/>
    </xf>
    <xf numFmtId="0" fontId="26" fillId="0" borderId="136" xfId="0" applyFont="1" applyBorder="1" applyAlignment="1">
      <alignment horizontal="left" wrapText="1"/>
    </xf>
    <xf numFmtId="3" fontId="26" fillId="0" borderId="138" xfId="0" applyNumberFormat="1" applyFont="1" applyFill="1" applyBorder="1" applyAlignment="1">
      <alignment horizontal="right"/>
    </xf>
    <xf numFmtId="0" fontId="54" fillId="8" borderId="136" xfId="0" applyFont="1" applyFill="1" applyBorder="1" applyAlignment="1">
      <alignment horizontal="right" wrapText="1"/>
    </xf>
    <xf numFmtId="3" fontId="54" fillId="8" borderId="138" xfId="0" applyNumberFormat="1" applyFont="1" applyFill="1" applyBorder="1" applyAlignment="1">
      <alignment horizontal="right"/>
    </xf>
    <xf numFmtId="6" fontId="54" fillId="8" borderId="138" xfId="0" applyNumberFormat="1" applyFont="1" applyFill="1" applyBorder="1" applyAlignment="1">
      <alignment horizontal="right"/>
    </xf>
    <xf numFmtId="5" fontId="26" fillId="3" borderId="138" xfId="0" applyNumberFormat="1" applyFont="1" applyFill="1" applyBorder="1" applyAlignment="1">
      <alignment horizontal="right" wrapText="1"/>
    </xf>
    <xf numFmtId="6" fontId="54" fillId="2" borderId="138" xfId="0" applyNumberFormat="1" applyFont="1" applyFill="1" applyBorder="1" applyAlignment="1">
      <alignment horizontal="right"/>
    </xf>
    <xf numFmtId="6" fontId="54" fillId="0" borderId="138" xfId="0" applyNumberFormat="1" applyFont="1" applyFill="1" applyBorder="1" applyAlignment="1">
      <alignment horizontal="right"/>
    </xf>
    <xf numFmtId="38" fontId="54" fillId="8" borderId="138" xfId="0" applyNumberFormat="1" applyFont="1" applyFill="1" applyBorder="1" applyAlignment="1">
      <alignment horizontal="right"/>
    </xf>
    <xf numFmtId="0" fontId="54" fillId="34" borderId="176" xfId="0" applyFont="1" applyFill="1" applyBorder="1" applyAlignment="1">
      <alignment horizontal="right" wrapText="1"/>
    </xf>
    <xf numFmtId="3" fontId="26" fillId="34" borderId="60" xfId="0" applyNumberFormat="1" applyFont="1" applyFill="1" applyBorder="1" applyAlignment="1">
      <alignment horizontal="right"/>
    </xf>
    <xf numFmtId="38" fontId="26" fillId="34" borderId="60" xfId="0" applyNumberFormat="1" applyFont="1" applyFill="1" applyBorder="1" applyAlignment="1">
      <alignment horizontal="right"/>
    </xf>
    <xf numFmtId="6" fontId="26" fillId="34" borderId="60" xfId="0" applyNumberFormat="1" applyFont="1" applyFill="1" applyBorder="1" applyAlignment="1">
      <alignment horizontal="right"/>
    </xf>
    <xf numFmtId="6" fontId="26" fillId="35" borderId="60" xfId="0" applyNumberFormat="1" applyFont="1" applyFill="1" applyBorder="1" applyAlignment="1">
      <alignment horizontal="right"/>
    </xf>
    <xf numFmtId="0" fontId="0" fillId="3" borderId="0" xfId="0" applyFill="1"/>
    <xf numFmtId="0" fontId="58" fillId="5" borderId="138" xfId="0" applyFont="1" applyFill="1" applyBorder="1" applyAlignment="1">
      <alignment horizontal="center" wrapText="1"/>
    </xf>
    <xf numFmtId="0" fontId="58" fillId="5" borderId="138" xfId="0" applyFont="1" applyFill="1" applyBorder="1" applyAlignment="1">
      <alignment horizontal="right" wrapText="1"/>
    </xf>
    <xf numFmtId="0" fontId="26" fillId="28" borderId="136" xfId="0" applyFont="1" applyFill="1" applyBorder="1" applyAlignment="1">
      <alignment horizontal="left" wrapText="1"/>
    </xf>
    <xf numFmtId="3" fontId="54" fillId="0" borderId="136" xfId="0" applyNumberFormat="1" applyFont="1" applyFill="1" applyBorder="1" applyAlignment="1">
      <alignment horizontal="right"/>
    </xf>
    <xf numFmtId="38" fontId="54" fillId="0" borderId="136" xfId="0" applyNumberFormat="1" applyFont="1" applyBorder="1" applyAlignment="1">
      <alignment horizontal="left"/>
    </xf>
    <xf numFmtId="6" fontId="54" fillId="0" borderId="136" xfId="0" applyNumberFormat="1" applyFont="1" applyFill="1" applyBorder="1" applyAlignment="1">
      <alignment horizontal="right"/>
    </xf>
    <xf numFmtId="6" fontId="54" fillId="3" borderId="136" xfId="0" applyNumberFormat="1" applyFont="1" applyFill="1" applyBorder="1" applyAlignment="1">
      <alignment horizontal="right"/>
    </xf>
    <xf numFmtId="6" fontId="54" fillId="2" borderId="136" xfId="0" applyNumberFormat="1" applyFont="1" applyFill="1" applyBorder="1" applyAlignment="1">
      <alignment horizontal="right"/>
    </xf>
    <xf numFmtId="6" fontId="54" fillId="32" borderId="136" xfId="0" applyNumberFormat="1" applyFont="1" applyFill="1" applyBorder="1" applyAlignment="1">
      <alignment horizontal="right"/>
    </xf>
    <xf numFmtId="38" fontId="26" fillId="33" borderId="60" xfId="0" applyNumberFormat="1" applyFont="1" applyFill="1" applyBorder="1" applyAlignment="1">
      <alignment horizontal="right"/>
    </xf>
    <xf numFmtId="0" fontId="64" fillId="0" borderId="0" xfId="0" applyFont="1" applyAlignment="1">
      <alignment horizontal="right" vertical="top"/>
    </xf>
    <xf numFmtId="0" fontId="19" fillId="0" borderId="0" xfId="0" applyFont="1" applyBorder="1" applyAlignment="1">
      <alignment horizontal="left" vertical="top" wrapText="1"/>
    </xf>
    <xf numFmtId="0" fontId="59" fillId="0" borderId="0" xfId="0" applyFont="1" applyBorder="1"/>
    <xf numFmtId="0" fontId="1" fillId="0" borderId="0" xfId="0" applyFont="1" applyBorder="1" applyAlignment="1">
      <alignment vertical="top" wrapText="1"/>
    </xf>
    <xf numFmtId="0" fontId="1" fillId="0" borderId="60" xfId="0" applyFont="1" applyBorder="1" applyAlignment="1">
      <alignment horizontal="left" vertical="top" wrapText="1"/>
    </xf>
    <xf numFmtId="0" fontId="50" fillId="0" borderId="176" xfId="0" applyFont="1" applyFill="1" applyBorder="1" applyAlignment="1" applyProtection="1">
      <alignment horizontal="center" vertical="center" wrapText="1"/>
    </xf>
    <xf numFmtId="4" fontId="71" fillId="0" borderId="0" xfId="0" applyNumberFormat="1" applyFont="1" applyBorder="1" applyAlignment="1">
      <alignment horizontal="center" wrapText="1"/>
    </xf>
    <xf numFmtId="0" fontId="59" fillId="10" borderId="138" xfId="0" applyFont="1" applyFill="1" applyBorder="1" applyAlignment="1">
      <alignment horizontal="center" vertical="center"/>
    </xf>
    <xf numFmtId="0" fontId="59" fillId="10" borderId="136" xfId="0" applyFont="1" applyFill="1" applyBorder="1" applyAlignment="1">
      <alignment horizontal="center" vertical="center"/>
    </xf>
    <xf numFmtId="0" fontId="59" fillId="10" borderId="136" xfId="0" applyFont="1" applyFill="1" applyBorder="1" applyAlignment="1">
      <alignment horizontal="center" vertical="center" wrapText="1"/>
    </xf>
    <xf numFmtId="4" fontId="71" fillId="0" borderId="0" xfId="0" applyNumberFormat="1" applyFont="1" applyBorder="1" applyAlignment="1">
      <alignment horizontal="center" vertical="center"/>
    </xf>
    <xf numFmtId="0" fontId="59" fillId="0" borderId="0" xfId="0" applyFont="1" applyBorder="1" applyAlignment="1">
      <alignment horizontal="center" vertical="center"/>
    </xf>
    <xf numFmtId="0" fontId="72" fillId="4" borderId="136" xfId="0" applyFont="1" applyFill="1" applyBorder="1" applyAlignment="1">
      <alignment horizontal="left" wrapText="1"/>
    </xf>
    <xf numFmtId="38" fontId="60" fillId="0" borderId="136" xfId="0" applyNumberFormat="1" applyFont="1" applyFill="1" applyBorder="1" applyAlignment="1">
      <alignment horizontal="center"/>
    </xf>
    <xf numFmtId="6" fontId="60" fillId="0" borderId="136" xfId="0" applyNumberFormat="1" applyFont="1" applyBorder="1" applyAlignment="1">
      <alignment horizontal="center"/>
    </xf>
    <xf numFmtId="6" fontId="60" fillId="0" borderId="136" xfId="0" applyNumberFormat="1" applyFont="1" applyFill="1" applyBorder="1" applyAlignment="1">
      <alignment horizontal="center"/>
    </xf>
    <xf numFmtId="6" fontId="60" fillId="3" borderId="136" xfId="0" applyNumberFormat="1" applyFont="1" applyFill="1" applyBorder="1" applyAlignment="1">
      <alignment horizontal="center"/>
    </xf>
    <xf numFmtId="6" fontId="60" fillId="5" borderId="136" xfId="0" applyNumberFormat="1" applyFont="1" applyFill="1" applyBorder="1" applyAlignment="1">
      <alignment horizontal="center"/>
    </xf>
    <xf numFmtId="6" fontId="60" fillId="3" borderId="136" xfId="0" applyNumberFormat="1" applyFont="1" applyFill="1" applyBorder="1" applyAlignment="1">
      <alignment horizontal="center" wrapText="1"/>
    </xf>
    <xf numFmtId="6" fontId="60" fillId="0" borderId="136" xfId="0" applyNumberFormat="1" applyFont="1" applyFill="1" applyBorder="1" applyAlignment="1">
      <alignment horizontal="center" wrapText="1"/>
    </xf>
    <xf numFmtId="38" fontId="60" fillId="0" borderId="136" xfId="0" applyNumberFormat="1" applyFont="1" applyFill="1" applyBorder="1" applyAlignment="1">
      <alignment horizontal="center" wrapText="1"/>
    </xf>
    <xf numFmtId="6" fontId="60" fillId="15" borderId="136" xfId="0" applyNumberFormat="1" applyFont="1" applyFill="1" applyBorder="1" applyAlignment="1">
      <alignment horizontal="center" wrapText="1"/>
    </xf>
    <xf numFmtId="4" fontId="73" fillId="0" borderId="0" xfId="0" applyNumberFormat="1" applyFont="1" applyBorder="1"/>
    <xf numFmtId="0" fontId="60" fillId="0" borderId="0" xfId="0" applyFont="1" applyBorder="1"/>
    <xf numFmtId="0" fontId="72" fillId="4" borderId="136" xfId="0" quotePrefix="1" applyFont="1" applyFill="1" applyBorder="1" applyAlignment="1">
      <alignment horizontal="left" wrapText="1"/>
    </xf>
    <xf numFmtId="38" fontId="72" fillId="0" borderId="136" xfId="0" applyNumberFormat="1" applyFont="1" applyBorder="1" applyAlignment="1">
      <alignment horizontal="center"/>
    </xf>
    <xf numFmtId="6" fontId="72" fillId="0" borderId="136" xfId="0" applyNumberFormat="1" applyFont="1" applyBorder="1" applyAlignment="1">
      <alignment horizontal="center"/>
    </xf>
    <xf numFmtId="6" fontId="72" fillId="0" borderId="136" xfId="0" applyNumberFormat="1" applyFont="1" applyFill="1" applyBorder="1" applyAlignment="1">
      <alignment horizontal="center"/>
    </xf>
    <xf numFmtId="6" fontId="72" fillId="3" borderId="136" xfId="0" applyNumberFormat="1" applyFont="1" applyFill="1" applyBorder="1" applyAlignment="1">
      <alignment horizontal="center"/>
    </xf>
    <xf numFmtId="6" fontId="72" fillId="5" borderId="136" xfId="0" applyNumberFormat="1" applyFont="1" applyFill="1" applyBorder="1" applyAlignment="1">
      <alignment horizontal="center"/>
    </xf>
    <xf numFmtId="38" fontId="72" fillId="0" borderId="136" xfId="0" applyNumberFormat="1" applyFont="1" applyFill="1" applyBorder="1" applyAlignment="1">
      <alignment horizontal="center"/>
    </xf>
    <xf numFmtId="6" fontId="72" fillId="15" borderId="136" xfId="0" applyNumberFormat="1" applyFont="1" applyFill="1" applyBorder="1" applyAlignment="1">
      <alignment horizontal="center"/>
    </xf>
    <xf numFmtId="0" fontId="72" fillId="15" borderId="0" xfId="0" quotePrefix="1" applyFont="1" applyFill="1" applyBorder="1" applyAlignment="1">
      <alignment horizontal="left" wrapText="1"/>
    </xf>
    <xf numFmtId="38" fontId="72" fillId="15" borderId="0" xfId="0" applyNumberFormat="1" applyFont="1" applyFill="1" applyBorder="1" applyAlignment="1">
      <alignment horizontal="center"/>
    </xf>
    <xf numFmtId="6" fontId="72" fillId="15" borderId="0" xfId="0" applyNumberFormat="1" applyFont="1" applyFill="1" applyBorder="1" applyAlignment="1">
      <alignment horizontal="center"/>
    </xf>
    <xf numFmtId="6" fontId="72" fillId="15" borderId="159" xfId="0" applyNumberFormat="1" applyFont="1" applyFill="1" applyBorder="1" applyAlignment="1">
      <alignment horizontal="center"/>
    </xf>
    <xf numFmtId="6" fontId="60" fillId="0" borderId="136" xfId="0" applyNumberFormat="1" applyFont="1" applyBorder="1" applyAlignment="1">
      <alignment horizontal="center" wrapText="1"/>
    </xf>
    <xf numFmtId="6" fontId="72" fillId="15" borderId="113" xfId="0" applyNumberFormat="1" applyFont="1" applyFill="1" applyBorder="1" applyAlignment="1">
      <alignment horizontal="center"/>
    </xf>
    <xf numFmtId="6" fontId="72" fillId="0" borderId="136" xfId="0" applyNumberFormat="1" applyFont="1" applyBorder="1" applyAlignment="1">
      <alignment horizontal="center" wrapText="1"/>
    </xf>
    <xf numFmtId="6" fontId="72" fillId="0" borderId="136" xfId="0" applyNumberFormat="1" applyFont="1" applyFill="1" applyBorder="1" applyAlignment="1">
      <alignment horizontal="center" wrapText="1"/>
    </xf>
    <xf numFmtId="6" fontId="72" fillId="15" borderId="136" xfId="0" applyNumberFormat="1" applyFont="1" applyFill="1" applyBorder="1" applyAlignment="1">
      <alignment horizontal="center" wrapText="1"/>
    </xf>
    <xf numFmtId="0" fontId="60" fillId="0" borderId="0" xfId="0" applyFont="1" applyBorder="1" applyAlignment="1">
      <alignment horizontal="center"/>
    </xf>
    <xf numFmtId="0" fontId="74" fillId="0" borderId="0" xfId="0" quotePrefix="1" applyFont="1" applyFill="1" applyBorder="1" applyAlignment="1">
      <alignment horizontal="left" wrapText="1"/>
    </xf>
    <xf numFmtId="6" fontId="62" fillId="0" borderId="0" xfId="0" applyNumberFormat="1" applyFont="1" applyBorder="1" applyAlignment="1">
      <alignment horizontal="right"/>
    </xf>
    <xf numFmtId="38" fontId="62" fillId="0" borderId="0" xfId="0" applyNumberFormat="1" applyFont="1" applyBorder="1" applyAlignment="1">
      <alignment horizontal="right"/>
    </xf>
    <xf numFmtId="6" fontId="59" fillId="0" borderId="0" xfId="0" applyNumberFormat="1" applyFont="1" applyBorder="1"/>
    <xf numFmtId="0" fontId="62" fillId="0" borderId="0" xfId="0" applyFont="1" applyFill="1" applyBorder="1" applyAlignment="1">
      <alignment horizontal="left"/>
    </xf>
    <xf numFmtId="0" fontId="1" fillId="0" borderId="60" xfId="0" applyFont="1" applyBorder="1" applyAlignment="1">
      <alignment vertical="top" wrapText="1"/>
    </xf>
    <xf numFmtId="4" fontId="71" fillId="0" borderId="0" xfId="0" applyNumberFormat="1" applyFont="1" applyBorder="1"/>
    <xf numFmtId="6" fontId="72" fillId="8" borderId="136" xfId="0" applyNumberFormat="1" applyFont="1" applyFill="1" applyBorder="1" applyAlignment="1">
      <alignment horizontal="center"/>
    </xf>
    <xf numFmtId="4" fontId="59" fillId="0" borderId="0" xfId="0" applyNumberFormat="1" applyFont="1" applyBorder="1"/>
    <xf numFmtId="6" fontId="72" fillId="15" borderId="160" xfId="0" applyNumberFormat="1" applyFont="1" applyFill="1" applyBorder="1" applyAlignment="1">
      <alignment horizontal="center"/>
    </xf>
    <xf numFmtId="0" fontId="75" fillId="0" borderId="0" xfId="0" applyFont="1" applyBorder="1" applyAlignment="1">
      <alignment wrapText="1"/>
    </xf>
    <xf numFmtId="0" fontId="62" fillId="0" borderId="0" xfId="0" applyFont="1" applyBorder="1"/>
    <xf numFmtId="0" fontId="72" fillId="12" borderId="136" xfId="0" applyFont="1" applyFill="1" applyBorder="1" applyAlignment="1">
      <alignment horizontal="left" wrapText="1"/>
    </xf>
    <xf numFmtId="0" fontId="72" fillId="12" borderId="136" xfId="0" quotePrefix="1" applyFont="1" applyFill="1" applyBorder="1" applyAlignment="1">
      <alignment horizontal="left" wrapText="1"/>
    </xf>
    <xf numFmtId="0" fontId="59" fillId="8" borderId="0" xfId="0" applyFont="1" applyFill="1" applyBorder="1"/>
    <xf numFmtId="6" fontId="59" fillId="8" borderId="0" xfId="0" applyNumberFormat="1" applyFont="1" applyFill="1" applyBorder="1"/>
    <xf numFmtId="0" fontId="59" fillId="8" borderId="160" xfId="0" applyFont="1" applyFill="1" applyBorder="1"/>
    <xf numFmtId="6" fontId="72" fillId="3" borderId="136" xfId="0" applyNumberFormat="1" applyFont="1" applyFill="1" applyBorder="1" applyAlignment="1">
      <alignment horizontal="center" wrapText="1"/>
    </xf>
    <xf numFmtId="38" fontId="72" fillId="3" borderId="136" xfId="0" applyNumberFormat="1" applyFont="1" applyFill="1" applyBorder="1" applyAlignment="1">
      <alignment horizontal="center"/>
    </xf>
    <xf numFmtId="38" fontId="72" fillId="5" borderId="136" xfId="0" applyNumberFormat="1" applyFont="1" applyFill="1" applyBorder="1" applyAlignment="1">
      <alignment horizontal="center"/>
    </xf>
    <xf numFmtId="0" fontId="72" fillId="0" borderId="0" xfId="0" applyFont="1" applyBorder="1"/>
    <xf numFmtId="0" fontId="59" fillId="0" borderId="0" xfId="0" applyFont="1" applyFill="1"/>
    <xf numFmtId="3" fontId="59" fillId="0" borderId="137" xfId="0" applyNumberFormat="1" applyFont="1" applyFill="1" applyBorder="1" applyAlignment="1">
      <alignment horizontal="center"/>
    </xf>
    <xf numFmtId="3" fontId="62" fillId="0" borderId="137" xfId="0" applyNumberFormat="1" applyFont="1" applyFill="1" applyBorder="1"/>
    <xf numFmtId="38" fontId="60" fillId="0" borderId="177" xfId="0" applyNumberFormat="1" applyFont="1" applyFill="1" applyBorder="1" applyAlignment="1">
      <alignment horizontal="center"/>
    </xf>
    <xf numFmtId="6" fontId="60" fillId="0" borderId="177" xfId="0" applyNumberFormat="1" applyFont="1" applyBorder="1" applyAlignment="1">
      <alignment horizontal="center"/>
    </xf>
    <xf numFmtId="6" fontId="60" fillId="0" borderId="177" xfId="0" applyNumberFormat="1" applyFont="1" applyFill="1" applyBorder="1" applyAlignment="1">
      <alignment horizontal="center"/>
    </xf>
    <xf numFmtId="6" fontId="60" fillId="3" borderId="177" xfId="0" applyNumberFormat="1" applyFont="1" applyFill="1" applyBorder="1" applyAlignment="1">
      <alignment horizontal="center"/>
    </xf>
    <xf numFmtId="6" fontId="60" fillId="5" borderId="177" xfId="0" applyNumberFormat="1" applyFont="1" applyFill="1" applyBorder="1" applyAlignment="1">
      <alignment horizontal="center"/>
    </xf>
    <xf numFmtId="6" fontId="60" fillId="8" borderId="177" xfId="0" applyNumberFormat="1" applyFont="1" applyFill="1" applyBorder="1" applyAlignment="1">
      <alignment horizontal="center"/>
    </xf>
    <xf numFmtId="6" fontId="60" fillId="3" borderId="177" xfId="0" applyNumberFormat="1" applyFont="1" applyFill="1" applyBorder="1" applyAlignment="1">
      <alignment horizontal="center" wrapText="1"/>
    </xf>
    <xf numFmtId="6" fontId="60" fillId="0" borderId="177" xfId="0" applyNumberFormat="1" applyFont="1" applyFill="1" applyBorder="1" applyAlignment="1">
      <alignment horizontal="center" wrapText="1"/>
    </xf>
    <xf numFmtId="38" fontId="60" fillId="0" borderId="177" xfId="0" applyNumberFormat="1" applyFont="1" applyFill="1" applyBorder="1" applyAlignment="1">
      <alignment horizontal="center" wrapText="1"/>
    </xf>
    <xf numFmtId="6" fontId="60" fillId="36" borderId="177" xfId="0" applyNumberFormat="1" applyFont="1" applyFill="1" applyBorder="1" applyAlignment="1">
      <alignment horizontal="center" wrapText="1"/>
    </xf>
    <xf numFmtId="6" fontId="60" fillId="15" borderId="177" xfId="0" applyNumberFormat="1" applyFont="1" applyFill="1" applyBorder="1" applyAlignment="1">
      <alignment horizontal="center" wrapText="1"/>
    </xf>
    <xf numFmtId="38" fontId="60" fillId="0" borderId="178" xfId="0" applyNumberFormat="1" applyFont="1" applyFill="1" applyBorder="1" applyAlignment="1">
      <alignment horizontal="center"/>
    </xf>
    <xf numFmtId="6" fontId="60" fillId="0" borderId="178" xfId="0" applyNumberFormat="1" applyFont="1" applyBorder="1" applyAlignment="1">
      <alignment horizontal="center"/>
    </xf>
    <xf numFmtId="6" fontId="60" fillId="0" borderId="178" xfId="0" applyNumberFormat="1" applyFont="1" applyFill="1" applyBorder="1" applyAlignment="1">
      <alignment horizontal="center"/>
    </xf>
    <xf numFmtId="6" fontId="60" fillId="3" borderId="178" xfId="0" applyNumberFormat="1" applyFont="1" applyFill="1" applyBorder="1" applyAlignment="1">
      <alignment horizontal="center"/>
    </xf>
    <xf numFmtId="6" fontId="60" fillId="5" borderId="178" xfId="0" applyNumberFormat="1" applyFont="1" applyFill="1" applyBorder="1" applyAlignment="1">
      <alignment horizontal="center"/>
    </xf>
    <xf numFmtId="6" fontId="60" fillId="8" borderId="178" xfId="0" applyNumberFormat="1" applyFont="1" applyFill="1" applyBorder="1" applyAlignment="1">
      <alignment horizontal="center"/>
    </xf>
    <xf numFmtId="6" fontId="60" fillId="3" borderId="178" xfId="0" applyNumberFormat="1" applyFont="1" applyFill="1" applyBorder="1" applyAlignment="1">
      <alignment horizontal="center" wrapText="1"/>
    </xf>
    <xf numFmtId="6" fontId="60" fillId="0" borderId="178" xfId="0" applyNumberFormat="1" applyFont="1" applyFill="1" applyBorder="1" applyAlignment="1">
      <alignment horizontal="center" wrapText="1"/>
    </xf>
    <xf numFmtId="38" fontId="60" fillId="0" borderId="178" xfId="0" applyNumberFormat="1" applyFont="1" applyFill="1" applyBorder="1" applyAlignment="1">
      <alignment horizontal="center" wrapText="1"/>
    </xf>
    <xf numFmtId="6" fontId="60" fillId="36" borderId="178" xfId="0" applyNumberFormat="1" applyFont="1" applyFill="1" applyBorder="1" applyAlignment="1">
      <alignment horizontal="center" wrapText="1"/>
    </xf>
    <xf numFmtId="6" fontId="60" fillId="15" borderId="178" xfId="0" applyNumberFormat="1" applyFont="1" applyFill="1" applyBorder="1" applyAlignment="1">
      <alignment horizontal="center" wrapText="1"/>
    </xf>
    <xf numFmtId="3" fontId="59" fillId="0" borderId="138" xfId="0" applyNumberFormat="1" applyFont="1" applyFill="1" applyBorder="1" applyAlignment="1">
      <alignment horizontal="center"/>
    </xf>
    <xf numFmtId="3" fontId="62" fillId="0" borderId="138" xfId="0" applyNumberFormat="1" applyFont="1" applyFill="1" applyBorder="1"/>
    <xf numFmtId="38" fontId="60" fillId="0" borderId="179" xfId="0" applyNumberFormat="1" applyFont="1" applyFill="1" applyBorder="1" applyAlignment="1">
      <alignment horizontal="center"/>
    </xf>
    <xf numFmtId="6" fontId="60" fillId="0" borderId="179" xfId="0" applyNumberFormat="1" applyFont="1" applyBorder="1" applyAlignment="1">
      <alignment horizontal="center"/>
    </xf>
    <xf numFmtId="6" fontId="60" fillId="0" borderId="179" xfId="0" applyNumberFormat="1" applyFont="1" applyFill="1" applyBorder="1" applyAlignment="1">
      <alignment horizontal="center"/>
    </xf>
    <xf numFmtId="6" fontId="60" fillId="3" borderId="179" xfId="0" applyNumberFormat="1" applyFont="1" applyFill="1" applyBorder="1" applyAlignment="1">
      <alignment horizontal="center"/>
    </xf>
    <xf numFmtId="6" fontId="60" fillId="5" borderId="179" xfId="0" applyNumberFormat="1" applyFont="1" applyFill="1" applyBorder="1" applyAlignment="1">
      <alignment horizontal="center"/>
    </xf>
    <xf numFmtId="6" fontId="60" fillId="8" borderId="179" xfId="0" applyNumberFormat="1" applyFont="1" applyFill="1" applyBorder="1" applyAlignment="1">
      <alignment horizontal="center"/>
    </xf>
    <xf numFmtId="6" fontId="60" fillId="3" borderId="179" xfId="0" applyNumberFormat="1" applyFont="1" applyFill="1" applyBorder="1" applyAlignment="1">
      <alignment horizontal="center" wrapText="1"/>
    </xf>
    <xf numFmtId="6" fontId="60" fillId="0" borderId="179" xfId="0" applyNumberFormat="1" applyFont="1" applyFill="1" applyBorder="1" applyAlignment="1">
      <alignment horizontal="center" wrapText="1"/>
    </xf>
    <xf numFmtId="38" fontId="60" fillId="0" borderId="179" xfId="0" applyNumberFormat="1" applyFont="1" applyFill="1" applyBorder="1" applyAlignment="1">
      <alignment horizontal="center" wrapText="1"/>
    </xf>
    <xf numFmtId="6" fontId="60" fillId="36" borderId="179" xfId="0" applyNumberFormat="1" applyFont="1" applyFill="1" applyBorder="1" applyAlignment="1">
      <alignment horizontal="center" wrapText="1"/>
    </xf>
    <xf numFmtId="6" fontId="60" fillId="15" borderId="179" xfId="0" applyNumberFormat="1" applyFont="1" applyFill="1" applyBorder="1" applyAlignment="1">
      <alignment horizontal="center" wrapText="1"/>
    </xf>
    <xf numFmtId="0" fontId="72" fillId="0" borderId="110" xfId="0" applyFont="1" applyBorder="1"/>
    <xf numFmtId="0" fontId="72" fillId="3" borderId="135" xfId="0" applyFont="1" applyFill="1" applyBorder="1" applyAlignment="1">
      <alignment horizontal="right" wrapText="1"/>
    </xf>
    <xf numFmtId="38" fontId="72" fillId="0" borderId="135" xfId="0" applyNumberFormat="1" applyFont="1" applyFill="1" applyBorder="1" applyAlignment="1">
      <alignment horizontal="center"/>
    </xf>
    <xf numFmtId="6" fontId="72" fillId="0" borderId="135" xfId="0" applyNumberFormat="1" applyFont="1" applyBorder="1" applyAlignment="1">
      <alignment horizontal="center"/>
    </xf>
    <xf numFmtId="6" fontId="72" fillId="0" borderId="135" xfId="0" applyNumberFormat="1" applyFont="1" applyFill="1" applyBorder="1" applyAlignment="1">
      <alignment horizontal="center"/>
    </xf>
    <xf numFmtId="6" fontId="72" fillId="3" borderId="135" xfId="0" applyNumberFormat="1" applyFont="1" applyFill="1" applyBorder="1" applyAlignment="1">
      <alignment horizontal="center"/>
    </xf>
    <xf numFmtId="6" fontId="72" fillId="5" borderId="135" xfId="0" applyNumberFormat="1" applyFont="1" applyFill="1" applyBorder="1" applyAlignment="1">
      <alignment horizontal="center"/>
    </xf>
    <xf numFmtId="6" fontId="72" fillId="8" borderId="135" xfId="0" applyNumberFormat="1" applyFont="1" applyFill="1" applyBorder="1" applyAlignment="1">
      <alignment horizontal="center"/>
    </xf>
    <xf numFmtId="6" fontId="72" fillId="0" borderId="135" xfId="0" applyNumberFormat="1" applyFont="1" applyBorder="1" applyAlignment="1">
      <alignment horizontal="center" wrapText="1"/>
    </xf>
    <xf numFmtId="6" fontId="72" fillId="0" borderId="135" xfId="0" applyNumberFormat="1" applyFont="1" applyFill="1" applyBorder="1" applyAlignment="1">
      <alignment horizontal="center" wrapText="1"/>
    </xf>
    <xf numFmtId="38" fontId="72" fillId="0" borderId="135" xfId="0" applyNumberFormat="1" applyFont="1" applyFill="1" applyBorder="1" applyAlignment="1">
      <alignment horizontal="center" wrapText="1"/>
    </xf>
    <xf numFmtId="6" fontId="72" fillId="36" borderId="135" xfId="0" applyNumberFormat="1" applyFont="1" applyFill="1" applyBorder="1" applyAlignment="1">
      <alignment horizontal="center" wrapText="1"/>
    </xf>
    <xf numFmtId="0" fontId="60" fillId="0" borderId="136" xfId="0" applyFont="1" applyBorder="1"/>
    <xf numFmtId="0" fontId="72" fillId="15" borderId="134" xfId="0" quotePrefix="1" applyFont="1" applyFill="1" applyBorder="1" applyAlignment="1">
      <alignment horizontal="right" wrapText="1"/>
    </xf>
    <xf numFmtId="38" fontId="72" fillId="15" borderId="99" xfId="0" applyNumberFormat="1" applyFont="1" applyFill="1" applyBorder="1" applyAlignment="1">
      <alignment horizontal="center"/>
    </xf>
    <xf numFmtId="6" fontId="72" fillId="15" borderId="99" xfId="0" applyNumberFormat="1" applyFont="1" applyFill="1" applyBorder="1" applyAlignment="1">
      <alignment horizontal="center"/>
    </xf>
    <xf numFmtId="6" fontId="72" fillId="8" borderId="99" xfId="0" applyNumberFormat="1" applyFont="1" applyFill="1" applyBorder="1" applyAlignment="1">
      <alignment horizontal="center"/>
    </xf>
    <xf numFmtId="0" fontId="59" fillId="0" borderId="99" xfId="0" applyFont="1" applyBorder="1"/>
    <xf numFmtId="6" fontId="59" fillId="0" borderId="99" xfId="0" applyNumberFormat="1" applyFont="1" applyBorder="1"/>
    <xf numFmtId="0" fontId="60" fillId="0" borderId="99" xfId="0" applyFont="1" applyBorder="1"/>
    <xf numFmtId="0" fontId="60" fillId="3" borderId="136" xfId="0" applyFont="1" applyFill="1" applyBorder="1" applyAlignment="1">
      <alignment horizontal="right" wrapText="1"/>
    </xf>
    <xf numFmtId="6" fontId="60" fillId="8" borderId="136" xfId="0" applyNumberFormat="1" applyFont="1" applyFill="1" applyBorder="1" applyAlignment="1">
      <alignment horizontal="center"/>
    </xf>
    <xf numFmtId="6" fontId="60" fillId="36" borderId="136" xfId="0" applyNumberFormat="1" applyFont="1" applyFill="1" applyBorder="1" applyAlignment="1">
      <alignment horizontal="center" wrapText="1"/>
    </xf>
    <xf numFmtId="0" fontId="72" fillId="0" borderId="136" xfId="0" applyFont="1" applyBorder="1" applyAlignment="1">
      <alignment horizontal="center"/>
    </xf>
    <xf numFmtId="0" fontId="72" fillId="3" borderId="138" xfId="0" applyFont="1" applyFill="1" applyBorder="1" applyAlignment="1">
      <alignment horizontal="right" wrapText="1"/>
    </xf>
    <xf numFmtId="38" fontId="72" fillId="0" borderId="138" xfId="0" applyNumberFormat="1" applyFont="1" applyFill="1" applyBorder="1" applyAlignment="1">
      <alignment horizontal="center"/>
    </xf>
    <xf numFmtId="6" fontId="72" fillId="0" borderId="138" xfId="0" applyNumberFormat="1" applyFont="1" applyBorder="1" applyAlignment="1">
      <alignment horizontal="center"/>
    </xf>
    <xf numFmtId="6" fontId="72" fillId="0" borderId="138" xfId="0" applyNumberFormat="1" applyFont="1" applyFill="1" applyBorder="1" applyAlignment="1">
      <alignment horizontal="center"/>
    </xf>
    <xf numFmtId="6" fontId="72" fillId="3" borderId="138" xfId="0" applyNumberFormat="1" applyFont="1" applyFill="1" applyBorder="1" applyAlignment="1">
      <alignment horizontal="center"/>
    </xf>
    <xf numFmtId="6" fontId="72" fillId="5" borderId="138" xfId="0" applyNumberFormat="1" applyFont="1" applyFill="1" applyBorder="1" applyAlignment="1">
      <alignment horizontal="center"/>
    </xf>
    <xf numFmtId="6" fontId="72" fillId="8" borderId="138" xfId="0" applyNumberFormat="1" applyFont="1" applyFill="1" applyBorder="1" applyAlignment="1">
      <alignment horizontal="center"/>
    </xf>
    <xf numFmtId="6" fontId="72" fillId="0" borderId="138" xfId="0" applyNumberFormat="1" applyFont="1" applyBorder="1" applyAlignment="1">
      <alignment horizontal="center" wrapText="1"/>
    </xf>
    <xf numFmtId="6" fontId="72" fillId="0" borderId="138" xfId="0" applyNumberFormat="1" applyFont="1" applyFill="1" applyBorder="1" applyAlignment="1">
      <alignment horizontal="center" wrapText="1"/>
    </xf>
    <xf numFmtId="6" fontId="72" fillId="36" borderId="138" xfId="0" applyNumberFormat="1" applyFont="1" applyFill="1" applyBorder="1" applyAlignment="1">
      <alignment horizontal="center" wrapText="1"/>
    </xf>
    <xf numFmtId="6" fontId="72" fillId="15" borderId="138" xfId="0" applyNumberFormat="1" applyFont="1" applyFill="1" applyBorder="1" applyAlignment="1">
      <alignment horizontal="center" wrapText="1"/>
    </xf>
    <xf numFmtId="0" fontId="72" fillId="0" borderId="0" xfId="0" applyFont="1" applyBorder="1" applyAlignment="1">
      <alignment horizontal="center"/>
    </xf>
    <xf numFmtId="0" fontId="59" fillId="3" borderId="0" xfId="0" applyFont="1" applyFill="1" applyBorder="1"/>
    <xf numFmtId="0" fontId="72" fillId="3" borderId="0" xfId="0" applyFont="1" applyFill="1" applyBorder="1" applyAlignment="1">
      <alignment horizontal="left" wrapText="1"/>
    </xf>
    <xf numFmtId="6" fontId="72" fillId="3" borderId="0" xfId="0" applyNumberFormat="1" applyFont="1" applyFill="1" applyBorder="1" applyAlignment="1">
      <alignment horizontal="center" wrapText="1"/>
    </xf>
    <xf numFmtId="6" fontId="72" fillId="15" borderId="135" xfId="0" applyNumberFormat="1" applyFont="1" applyFill="1" applyBorder="1" applyAlignment="1">
      <alignment horizontal="center" wrapText="1"/>
    </xf>
    <xf numFmtId="0" fontId="59" fillId="3" borderId="99" xfId="0" applyFont="1" applyFill="1" applyBorder="1"/>
    <xf numFmtId="0" fontId="59" fillId="0" borderId="0" xfId="0" applyFont="1"/>
    <xf numFmtId="0" fontId="84" fillId="0" borderId="0" xfId="0" quotePrefix="1" applyFont="1" applyBorder="1" applyAlignment="1">
      <alignment horizontal="left"/>
    </xf>
    <xf numFmtId="0" fontId="85" fillId="0" borderId="0" xfId="0" applyFont="1" applyBorder="1" applyAlignment="1">
      <alignment horizontal="left"/>
    </xf>
    <xf numFmtId="0" fontId="85" fillId="0" borderId="0" xfId="0" applyFont="1" applyBorder="1" applyAlignment="1">
      <alignment horizontal="center"/>
    </xf>
    <xf numFmtId="0" fontId="85" fillId="3" borderId="0" xfId="0" applyFont="1" applyFill="1" applyBorder="1" applyAlignment="1">
      <alignment horizontal="left"/>
    </xf>
    <xf numFmtId="0" fontId="86" fillId="0" borderId="0" xfId="0" applyFont="1" applyFill="1" applyBorder="1" applyAlignment="1">
      <alignment horizontal="center"/>
    </xf>
    <xf numFmtId="0" fontId="87" fillId="0" borderId="0" xfId="0" applyFont="1" applyBorder="1" applyAlignment="1">
      <alignment horizontal="center"/>
    </xf>
    <xf numFmtId="0" fontId="87" fillId="0" borderId="0" xfId="0" applyFont="1" applyFill="1" applyBorder="1" applyAlignment="1">
      <alignment horizontal="center"/>
    </xf>
    <xf numFmtId="38" fontId="87" fillId="3" borderId="136" xfId="0" applyNumberFormat="1" applyFont="1" applyFill="1" applyBorder="1" applyAlignment="1">
      <alignment horizontal="right"/>
    </xf>
    <xf numFmtId="6" fontId="87" fillId="3" borderId="136" xfId="0" applyNumberFormat="1" applyFont="1" applyFill="1" applyBorder="1" applyAlignment="1">
      <alignment horizontal="right"/>
    </xf>
    <xf numFmtId="6" fontId="87" fillId="0" borderId="136" xfId="0" applyNumberFormat="1" applyFont="1" applyBorder="1" applyAlignment="1">
      <alignment horizontal="right"/>
    </xf>
    <xf numFmtId="6" fontId="87" fillId="0" borderId="136" xfId="0" applyNumberFormat="1" applyFont="1" applyBorder="1" applyAlignment="1">
      <alignment horizontal="right" wrapText="1"/>
    </xf>
    <xf numFmtId="6" fontId="87" fillId="0" borderId="136" xfId="0" applyNumberFormat="1" applyFont="1" applyFill="1" applyBorder="1" applyAlignment="1">
      <alignment horizontal="right"/>
    </xf>
    <xf numFmtId="0" fontId="72" fillId="4" borderId="136" xfId="0" applyFont="1" applyFill="1" applyBorder="1" applyAlignment="1">
      <alignment wrapText="1"/>
    </xf>
    <xf numFmtId="0" fontId="72" fillId="12" borderId="136" xfId="0" applyFont="1" applyFill="1" applyBorder="1" applyAlignment="1">
      <alignment wrapText="1"/>
    </xf>
    <xf numFmtId="38" fontId="87" fillId="0" borderId="136" xfId="0" applyNumberFormat="1" applyFont="1" applyFill="1" applyBorder="1" applyAlignment="1">
      <alignment horizontal="right"/>
    </xf>
    <xf numFmtId="38" fontId="92" fillId="0" borderId="136" xfId="0" applyNumberFormat="1" applyFont="1" applyBorder="1" applyAlignment="1">
      <alignment horizontal="right"/>
    </xf>
    <xf numFmtId="6" fontId="92" fillId="0" borderId="136" xfId="0" applyNumberFormat="1" applyFont="1" applyBorder="1" applyAlignment="1">
      <alignment horizontal="right"/>
    </xf>
    <xf numFmtId="6" fontId="92" fillId="0" borderId="136" xfId="0" applyNumberFormat="1" applyFont="1" applyFill="1" applyBorder="1" applyAlignment="1">
      <alignment horizontal="right"/>
    </xf>
    <xf numFmtId="6" fontId="92" fillId="0" borderId="0" xfId="0" applyNumberFormat="1" applyFont="1" applyBorder="1" applyAlignment="1">
      <alignment horizontal="right"/>
    </xf>
    <xf numFmtId="38" fontId="92" fillId="0" borderId="0" xfId="0" applyNumberFormat="1" applyFont="1" applyBorder="1" applyAlignment="1">
      <alignment horizontal="right"/>
    </xf>
    <xf numFmtId="6" fontId="87" fillId="0" borderId="0" xfId="0" applyNumberFormat="1" applyFont="1" applyBorder="1" applyAlignment="1">
      <alignment horizontal="right"/>
    </xf>
    <xf numFmtId="0" fontId="59" fillId="0" borderId="136" xfId="0" applyFont="1" applyBorder="1"/>
    <xf numFmtId="0" fontId="72" fillId="4" borderId="136" xfId="0" applyFont="1" applyFill="1" applyBorder="1" applyAlignment="1">
      <alignment horizontal="right" wrapText="1"/>
    </xf>
    <xf numFmtId="6" fontId="60" fillId="0" borderId="0" xfId="0" applyNumberFormat="1" applyFont="1" applyFill="1" applyBorder="1" applyAlignment="1">
      <alignment horizontal="center"/>
    </xf>
    <xf numFmtId="6" fontId="59" fillId="0" borderId="0" xfId="0" applyNumberFormat="1" applyFont="1" applyBorder="1" applyAlignment="1">
      <alignment horizontal="right"/>
    </xf>
    <xf numFmtId="6" fontId="59" fillId="0" borderId="0" xfId="0" applyNumberFormat="1" applyFont="1" applyBorder="1" applyAlignment="1"/>
    <xf numFmtId="0" fontId="93" fillId="38" borderId="0" xfId="0" applyFont="1" applyFill="1"/>
    <xf numFmtId="0" fontId="93" fillId="38" borderId="0" xfId="0" applyFont="1" applyFill="1" applyAlignment="1">
      <alignment horizontal="center"/>
    </xf>
    <xf numFmtId="0" fontId="14" fillId="3" borderId="0" xfId="0" applyFont="1" applyFill="1" applyBorder="1" applyAlignment="1">
      <alignment horizontal="center"/>
    </xf>
    <xf numFmtId="49" fontId="50" fillId="3" borderId="84" xfId="0" applyNumberFormat="1" applyFont="1" applyFill="1" applyBorder="1" applyAlignment="1">
      <alignment horizontal="center" vertical="center" wrapText="1"/>
    </xf>
    <xf numFmtId="49" fontId="50" fillId="3" borderId="0" xfId="0" applyNumberFormat="1" applyFont="1" applyFill="1" applyBorder="1" applyAlignment="1">
      <alignment horizontal="center" vertical="center" wrapText="1"/>
    </xf>
    <xf numFmtId="0" fontId="94" fillId="0" borderId="0" xfId="0" applyFont="1" applyAlignment="1">
      <alignment horizontal="center"/>
    </xf>
    <xf numFmtId="49" fontId="21" fillId="40" borderId="136" xfId="0" applyNumberFormat="1" applyFont="1" applyFill="1" applyBorder="1" applyAlignment="1">
      <alignment horizontal="center" vertical="center" wrapText="1"/>
    </xf>
    <xf numFmtId="49" fontId="21" fillId="3" borderId="84" xfId="0" applyNumberFormat="1" applyFont="1" applyFill="1" applyBorder="1" applyAlignment="1">
      <alignment horizontal="center" vertical="center" wrapText="1"/>
    </xf>
    <xf numFmtId="49" fontId="21" fillId="3" borderId="0" xfId="0" applyNumberFormat="1" applyFont="1" applyFill="1" applyBorder="1" applyAlignment="1">
      <alignment horizontal="center" vertical="center" wrapText="1"/>
    </xf>
    <xf numFmtId="10" fontId="21" fillId="40" borderId="136" xfId="7" applyNumberFormat="1" applyFont="1" applyFill="1" applyBorder="1" applyAlignment="1">
      <alignment horizontal="center" vertical="center" wrapText="1"/>
    </xf>
    <xf numFmtId="6" fontId="21" fillId="40" borderId="136" xfId="7" applyNumberFormat="1" applyFont="1" applyFill="1" applyBorder="1" applyAlignment="1">
      <alignment horizontal="center" vertical="center" wrapText="1"/>
    </xf>
    <xf numFmtId="1" fontId="14" fillId="10" borderId="137" xfId="0" applyNumberFormat="1" applyFont="1" applyFill="1" applyBorder="1" applyAlignment="1" applyProtection="1">
      <alignment horizontal="center"/>
    </xf>
    <xf numFmtId="1" fontId="19" fillId="10" borderId="137" xfId="0" applyNumberFormat="1" applyFont="1" applyFill="1" applyBorder="1" applyAlignment="1" applyProtection="1">
      <alignment horizontal="center"/>
    </xf>
    <xf numFmtId="1" fontId="18" fillId="10" borderId="135" xfId="0" quotePrefix="1" applyNumberFormat="1" applyFont="1" applyFill="1" applyBorder="1" applyAlignment="1" applyProtection="1">
      <alignment horizontal="center"/>
    </xf>
    <xf numFmtId="1" fontId="14" fillId="0" borderId="0" xfId="0" applyNumberFormat="1" applyFont="1" applyAlignment="1">
      <alignment horizontal="center"/>
    </xf>
    <xf numFmtId="1" fontId="14" fillId="10" borderId="136" xfId="0" applyNumberFormat="1" applyFont="1" applyFill="1" applyBorder="1" applyAlignment="1" applyProtection="1">
      <alignment horizontal="center"/>
    </xf>
    <xf numFmtId="1" fontId="19" fillId="10" borderId="136" xfId="0" applyNumberFormat="1" applyFont="1" applyFill="1" applyBorder="1" applyAlignment="1" applyProtection="1">
      <alignment horizontal="center"/>
    </xf>
    <xf numFmtId="1" fontId="18" fillId="10" borderId="136" xfId="0" applyNumberFormat="1" applyFont="1" applyFill="1" applyBorder="1" applyAlignment="1" applyProtection="1">
      <alignment horizontal="center"/>
    </xf>
    <xf numFmtId="1" fontId="18" fillId="10" borderId="136" xfId="0" applyNumberFormat="1" applyFont="1" applyFill="1" applyBorder="1" applyAlignment="1" applyProtection="1">
      <alignment horizontal="center" wrapText="1"/>
    </xf>
    <xf numFmtId="1" fontId="18" fillId="10" borderId="110" xfId="0" applyNumberFormat="1" applyFont="1" applyFill="1" applyBorder="1" applyAlignment="1" applyProtection="1">
      <alignment horizontal="center" wrapText="1"/>
    </xf>
    <xf numFmtId="1" fontId="18" fillId="3" borderId="84" xfId="0" applyNumberFormat="1" applyFont="1" applyFill="1" applyBorder="1" applyAlignment="1" applyProtection="1">
      <alignment horizontal="center"/>
    </xf>
    <xf numFmtId="1" fontId="18" fillId="3" borderId="0" xfId="0" applyNumberFormat="1" applyFont="1" applyFill="1" applyBorder="1" applyAlignment="1" applyProtection="1">
      <alignment horizontal="center"/>
    </xf>
    <xf numFmtId="1" fontId="14" fillId="0" borderId="136" xfId="0" applyNumberFormat="1" applyFont="1" applyBorder="1" applyAlignment="1">
      <alignment horizontal="center"/>
    </xf>
    <xf numFmtId="0" fontId="14" fillId="0" borderId="181" xfId="0" applyFont="1" applyFill="1" applyBorder="1" applyProtection="1"/>
    <xf numFmtId="0" fontId="14" fillId="0" borderId="182" xfId="0" applyFont="1" applyFill="1" applyBorder="1" applyProtection="1"/>
    <xf numFmtId="169" fontId="14" fillId="3" borderId="182" xfId="8" applyNumberFormat="1" applyFont="1" applyFill="1" applyBorder="1" applyAlignment="1" applyProtection="1">
      <alignment horizontal="right"/>
    </xf>
    <xf numFmtId="165" fontId="14" fillId="0" borderId="183" xfId="8" applyNumberFormat="1" applyFont="1" applyFill="1" applyBorder="1" applyAlignment="1" applyProtection="1">
      <alignment horizontal="right"/>
    </xf>
    <xf numFmtId="165" fontId="14" fillId="40" borderId="183" xfId="8" applyNumberFormat="1" applyFont="1" applyFill="1" applyBorder="1" applyAlignment="1" applyProtection="1">
      <alignment horizontal="right"/>
    </xf>
    <xf numFmtId="165" fontId="14" fillId="0" borderId="184" xfId="0" applyNumberFormat="1" applyFont="1" applyFill="1" applyBorder="1" applyAlignment="1" applyProtection="1">
      <alignment horizontal="right"/>
    </xf>
    <xf numFmtId="3" fontId="14" fillId="3" borderId="182" xfId="8" applyNumberFormat="1" applyFont="1" applyFill="1" applyBorder="1" applyAlignment="1" applyProtection="1">
      <alignment horizontal="right"/>
    </xf>
    <xf numFmtId="165" fontId="14" fillId="0" borderId="182" xfId="0" applyNumberFormat="1" applyFont="1" applyFill="1" applyBorder="1" applyAlignment="1" applyProtection="1">
      <alignment horizontal="right"/>
    </xf>
    <xf numFmtId="165" fontId="14" fillId="12" borderId="182" xfId="0" applyNumberFormat="1" applyFont="1" applyFill="1" applyBorder="1" applyAlignment="1" applyProtection="1">
      <alignment horizontal="right"/>
    </xf>
    <xf numFmtId="165" fontId="14" fillId="39" borderId="182" xfId="0" applyNumberFormat="1" applyFont="1" applyFill="1" applyBorder="1" applyAlignment="1" applyProtection="1">
      <alignment horizontal="right"/>
    </xf>
    <xf numFmtId="165" fontId="14" fillId="3" borderId="143" xfId="8" applyNumberFormat="1" applyFont="1" applyFill="1" applyBorder="1" applyAlignment="1" applyProtection="1">
      <alignment horizontal="right"/>
    </xf>
    <xf numFmtId="165" fontId="14" fillId="3" borderId="0" xfId="8" applyNumberFormat="1" applyFont="1" applyFill="1" applyBorder="1" applyAlignment="1" applyProtection="1">
      <alignment horizontal="right"/>
    </xf>
    <xf numFmtId="0" fontId="14" fillId="0" borderId="185" xfId="0" applyFont="1" applyFill="1" applyBorder="1" applyProtection="1"/>
    <xf numFmtId="0" fontId="14" fillId="0" borderId="186" xfId="0" applyFont="1" applyFill="1" applyBorder="1" applyProtection="1"/>
    <xf numFmtId="169" fontId="14" fillId="3" borderId="186" xfId="8" applyNumberFormat="1" applyFont="1" applyFill="1" applyBorder="1" applyAlignment="1" applyProtection="1">
      <alignment horizontal="right"/>
    </xf>
    <xf numFmtId="165" fontId="14" fillId="0" borderId="187" xfId="8" applyNumberFormat="1" applyFont="1" applyFill="1" applyBorder="1" applyAlignment="1" applyProtection="1">
      <alignment horizontal="right"/>
    </xf>
    <xf numFmtId="165" fontId="14" fillId="40" borderId="187" xfId="8" applyNumberFormat="1" applyFont="1" applyFill="1" applyBorder="1" applyAlignment="1" applyProtection="1">
      <alignment horizontal="right"/>
    </xf>
    <xf numFmtId="6" fontId="14" fillId="40" borderId="187" xfId="8" applyNumberFormat="1" applyFont="1" applyFill="1" applyBorder="1" applyAlignment="1" applyProtection="1">
      <alignment horizontal="right"/>
    </xf>
    <xf numFmtId="3" fontId="14" fillId="3" borderId="186" xfId="8" applyNumberFormat="1" applyFont="1" applyFill="1" applyBorder="1" applyAlignment="1" applyProtection="1">
      <alignment horizontal="right"/>
    </xf>
    <xf numFmtId="165" fontId="14" fillId="0" borderId="186" xfId="0" applyNumberFormat="1" applyFont="1" applyFill="1" applyBorder="1" applyAlignment="1" applyProtection="1">
      <alignment horizontal="right"/>
    </xf>
    <xf numFmtId="165" fontId="14" fillId="12" borderId="186" xfId="0" applyNumberFormat="1" applyFont="1" applyFill="1" applyBorder="1" applyAlignment="1" applyProtection="1">
      <alignment horizontal="right"/>
    </xf>
    <xf numFmtId="165" fontId="14" fillId="39" borderId="186" xfId="0" applyNumberFormat="1" applyFont="1" applyFill="1" applyBorder="1" applyAlignment="1" applyProtection="1">
      <alignment horizontal="right"/>
    </xf>
    <xf numFmtId="165" fontId="14" fillId="3" borderId="143" xfId="8" applyNumberFormat="1" applyFont="1" applyFill="1" applyBorder="1" applyAlignment="1" applyProtection="1">
      <alignment horizontal="right" wrapText="1"/>
    </xf>
    <xf numFmtId="0" fontId="14" fillId="0" borderId="188" xfId="0" applyFont="1" applyFill="1" applyBorder="1" applyProtection="1"/>
    <xf numFmtId="0" fontId="14" fillId="0" borderId="189" xfId="0" applyFont="1" applyFill="1" applyBorder="1" applyProtection="1"/>
    <xf numFmtId="169" fontId="14" fillId="3" borderId="189" xfId="8" applyNumberFormat="1" applyFont="1" applyFill="1" applyBorder="1" applyAlignment="1" applyProtection="1">
      <alignment horizontal="right"/>
    </xf>
    <xf numFmtId="165" fontId="14" fillId="0" borderId="190" xfId="8" applyNumberFormat="1" applyFont="1" applyFill="1" applyBorder="1" applyAlignment="1" applyProtection="1">
      <alignment horizontal="right"/>
    </xf>
    <xf numFmtId="165" fontId="14" fillId="40" borderId="190" xfId="8" applyNumberFormat="1" applyFont="1" applyFill="1" applyBorder="1" applyAlignment="1" applyProtection="1">
      <alignment horizontal="right"/>
    </xf>
    <xf numFmtId="6" fontId="14" fillId="40" borderId="190" xfId="8" applyNumberFormat="1" applyFont="1" applyFill="1" applyBorder="1" applyAlignment="1" applyProtection="1">
      <alignment horizontal="right"/>
    </xf>
    <xf numFmtId="165" fontId="14" fillId="0" borderId="191" xfId="0" applyNumberFormat="1" applyFont="1" applyFill="1" applyBorder="1" applyAlignment="1" applyProtection="1">
      <alignment horizontal="right"/>
    </xf>
    <xf numFmtId="3" fontId="14" fillId="3" borderId="189" xfId="8" applyNumberFormat="1" applyFont="1" applyFill="1" applyBorder="1" applyAlignment="1" applyProtection="1">
      <alignment horizontal="right"/>
    </xf>
    <xf numFmtId="165" fontId="14" fillId="0" borderId="189" xfId="0" applyNumberFormat="1" applyFont="1" applyFill="1" applyBorder="1" applyAlignment="1" applyProtection="1">
      <alignment horizontal="right"/>
    </xf>
    <xf numFmtId="165" fontId="14" fillId="12" borderId="189" xfId="0" applyNumberFormat="1" applyFont="1" applyFill="1" applyBorder="1" applyAlignment="1" applyProtection="1">
      <alignment horizontal="right"/>
    </xf>
    <xf numFmtId="165" fontId="14" fillId="39" borderId="189" xfId="0" applyNumberFormat="1" applyFont="1" applyFill="1" applyBorder="1" applyAlignment="1" applyProtection="1">
      <alignment horizontal="right"/>
    </xf>
    <xf numFmtId="165" fontId="14" fillId="3" borderId="0" xfId="8" applyNumberFormat="1" applyFont="1" applyFill="1" applyBorder="1" applyAlignment="1" applyProtection="1"/>
    <xf numFmtId="6" fontId="14" fillId="40" borderId="183" xfId="8" applyNumberFormat="1" applyFont="1" applyFill="1" applyBorder="1" applyAlignment="1" applyProtection="1">
      <alignment horizontal="right"/>
    </xf>
    <xf numFmtId="165" fontId="14" fillId="3" borderId="0" xfId="8" applyNumberFormat="1" applyFont="1" applyFill="1" applyBorder="1" applyAlignment="1" applyProtection="1">
      <alignment horizontal="left"/>
    </xf>
    <xf numFmtId="169" fontId="14" fillId="3" borderId="186" xfId="0" applyNumberFormat="1" applyFont="1" applyFill="1" applyBorder="1" applyAlignment="1" applyProtection="1">
      <alignment horizontal="right"/>
    </xf>
    <xf numFmtId="165" fontId="14" fillId="0" borderId="187" xfId="0" applyNumberFormat="1" applyFont="1" applyFill="1" applyBorder="1" applyAlignment="1" applyProtection="1">
      <alignment horizontal="right"/>
    </xf>
    <xf numFmtId="165" fontId="14" fillId="40" borderId="187" xfId="0" applyNumberFormat="1" applyFont="1" applyFill="1" applyBorder="1" applyAlignment="1" applyProtection="1">
      <alignment horizontal="right"/>
    </xf>
    <xf numFmtId="6" fontId="14" fillId="40" borderId="187" xfId="0" applyNumberFormat="1" applyFont="1" applyFill="1" applyBorder="1" applyAlignment="1" applyProtection="1">
      <alignment horizontal="right"/>
    </xf>
    <xf numFmtId="3" fontId="14" fillId="3" borderId="186" xfId="0" applyNumberFormat="1" applyFont="1" applyFill="1" applyBorder="1" applyAlignment="1" applyProtection="1">
      <alignment horizontal="right"/>
    </xf>
    <xf numFmtId="165" fontId="14" fillId="3" borderId="143" xfId="0" applyNumberFormat="1" applyFont="1" applyFill="1" applyBorder="1" applyAlignment="1" applyProtection="1">
      <alignment horizontal="right"/>
    </xf>
    <xf numFmtId="165" fontId="14" fillId="3" borderId="0" xfId="0" applyNumberFormat="1" applyFont="1" applyFill="1" applyBorder="1" applyAlignment="1" applyProtection="1">
      <alignment horizontal="right"/>
    </xf>
    <xf numFmtId="169" fontId="14" fillId="3" borderId="189" xfId="0" applyNumberFormat="1" applyFont="1" applyFill="1" applyBorder="1" applyAlignment="1" applyProtection="1">
      <alignment horizontal="right"/>
    </xf>
    <xf numFmtId="165" fontId="14" fillId="0" borderId="190" xfId="0" applyNumberFormat="1" applyFont="1" applyFill="1" applyBorder="1" applyAlignment="1" applyProtection="1">
      <alignment horizontal="right"/>
    </xf>
    <xf numFmtId="165" fontId="14" fillId="40" borderId="190" xfId="0" applyNumberFormat="1" applyFont="1" applyFill="1" applyBorder="1" applyAlignment="1" applyProtection="1">
      <alignment horizontal="right"/>
    </xf>
    <xf numFmtId="6" fontId="14" fillId="40" borderId="190" xfId="0" applyNumberFormat="1" applyFont="1" applyFill="1" applyBorder="1" applyAlignment="1" applyProtection="1">
      <alignment horizontal="right"/>
    </xf>
    <xf numFmtId="3" fontId="14" fillId="3" borderId="189" xfId="0" applyNumberFormat="1" applyFont="1" applyFill="1" applyBorder="1" applyAlignment="1" applyProtection="1">
      <alignment horizontal="right"/>
    </xf>
    <xf numFmtId="169" fontId="14" fillId="3" borderId="182" xfId="0" applyNumberFormat="1" applyFont="1" applyFill="1" applyBorder="1" applyAlignment="1" applyProtection="1">
      <alignment horizontal="right"/>
    </xf>
    <xf numFmtId="165" fontId="14" fillId="0" borderId="183" xfId="0" applyNumberFormat="1" applyFont="1" applyFill="1" applyBorder="1" applyAlignment="1" applyProtection="1">
      <alignment horizontal="right"/>
    </xf>
    <xf numFmtId="165" fontId="14" fillId="40" borderId="183" xfId="0" applyNumberFormat="1" applyFont="1" applyFill="1" applyBorder="1" applyAlignment="1" applyProtection="1">
      <alignment horizontal="right"/>
    </xf>
    <xf numFmtId="6" fontId="14" fillId="40" borderId="183" xfId="0" applyNumberFormat="1" applyFont="1" applyFill="1" applyBorder="1" applyAlignment="1" applyProtection="1">
      <alignment horizontal="right"/>
    </xf>
    <xf numFmtId="3" fontId="14" fillId="3" borderId="182" xfId="0" applyNumberFormat="1" applyFont="1" applyFill="1" applyBorder="1" applyAlignment="1" applyProtection="1">
      <alignment horizontal="right"/>
    </xf>
    <xf numFmtId="0" fontId="14" fillId="0" borderId="192" xfId="0" applyFont="1" applyFill="1" applyBorder="1" applyProtection="1"/>
    <xf numFmtId="0" fontId="14" fillId="0" borderId="193" xfId="0" applyFont="1" applyFill="1" applyBorder="1" applyProtection="1"/>
    <xf numFmtId="169" fontId="14" fillId="3" borderId="193" xfId="0" applyNumberFormat="1" applyFont="1" applyFill="1" applyBorder="1" applyAlignment="1" applyProtection="1">
      <alignment horizontal="right"/>
    </xf>
    <xf numFmtId="165" fontId="14" fillId="0" borderId="194" xfId="0" applyNumberFormat="1" applyFont="1" applyFill="1" applyBorder="1" applyAlignment="1" applyProtection="1">
      <alignment horizontal="right"/>
    </xf>
    <xf numFmtId="165" fontId="14" fillId="40" borderId="194" xfId="0" applyNumberFormat="1" applyFont="1" applyFill="1" applyBorder="1" applyAlignment="1" applyProtection="1">
      <alignment horizontal="right"/>
    </xf>
    <xf numFmtId="6" fontId="14" fillId="40" borderId="194" xfId="0" applyNumberFormat="1" applyFont="1" applyFill="1" applyBorder="1" applyAlignment="1" applyProtection="1">
      <alignment horizontal="right"/>
    </xf>
    <xf numFmtId="3" fontId="14" fillId="3" borderId="193" xfId="0" applyNumberFormat="1" applyFont="1" applyFill="1" applyBorder="1" applyAlignment="1" applyProtection="1">
      <alignment horizontal="right"/>
    </xf>
    <xf numFmtId="165" fontId="14" fillId="0" borderId="193" xfId="0" applyNumberFormat="1" applyFont="1" applyFill="1" applyBorder="1" applyAlignment="1" applyProtection="1">
      <alignment horizontal="right"/>
    </xf>
    <xf numFmtId="165" fontId="14" fillId="12" borderId="193" xfId="0" applyNumberFormat="1" applyFont="1" applyFill="1" applyBorder="1" applyAlignment="1" applyProtection="1">
      <alignment horizontal="right"/>
    </xf>
    <xf numFmtId="165" fontId="14" fillId="39" borderId="193" xfId="0" applyNumberFormat="1" applyFont="1" applyFill="1" applyBorder="1" applyAlignment="1" applyProtection="1">
      <alignment horizontal="right"/>
    </xf>
    <xf numFmtId="0" fontId="19" fillId="0" borderId="195" xfId="0" applyFont="1" applyFill="1" applyBorder="1" applyProtection="1"/>
    <xf numFmtId="0" fontId="21" fillId="0" borderId="149" xfId="0" applyFont="1" applyFill="1" applyBorder="1" applyAlignment="1" applyProtection="1">
      <alignment horizontal="center"/>
    </xf>
    <xf numFmtId="169" fontId="21" fillId="3" borderId="149" xfId="8" applyNumberFormat="1" applyFont="1" applyFill="1" applyBorder="1" applyAlignment="1" applyProtection="1">
      <alignment horizontal="right"/>
    </xf>
    <xf numFmtId="165" fontId="21" fillId="0" borderId="150" xfId="8" applyNumberFormat="1" applyFont="1" applyFill="1" applyBorder="1" applyAlignment="1" applyProtection="1">
      <alignment horizontal="right"/>
    </xf>
    <xf numFmtId="165" fontId="21" fillId="40" borderId="150" xfId="8" applyNumberFormat="1" applyFont="1" applyFill="1" applyBorder="1" applyAlignment="1" applyProtection="1">
      <alignment horizontal="right"/>
    </xf>
    <xf numFmtId="165" fontId="19" fillId="0" borderId="196" xfId="0" applyNumberFormat="1" applyFont="1" applyFill="1" applyBorder="1" applyAlignment="1" applyProtection="1">
      <alignment horizontal="right"/>
    </xf>
    <xf numFmtId="3" fontId="21" fillId="3" borderId="149" xfId="8" applyNumberFormat="1" applyFont="1" applyFill="1" applyBorder="1" applyAlignment="1" applyProtection="1">
      <alignment horizontal="right"/>
    </xf>
    <xf numFmtId="165" fontId="21" fillId="12" borderId="149" xfId="8" applyNumberFormat="1" applyFont="1" applyFill="1" applyBorder="1" applyAlignment="1" applyProtection="1">
      <alignment horizontal="right"/>
    </xf>
    <xf numFmtId="165" fontId="21" fillId="39" borderId="149" xfId="8" applyNumberFormat="1" applyFont="1" applyFill="1" applyBorder="1" applyAlignment="1" applyProtection="1">
      <alignment horizontal="right"/>
    </xf>
    <xf numFmtId="165" fontId="21" fillId="3" borderId="0" xfId="8" applyNumberFormat="1" applyFont="1" applyFill="1" applyBorder="1" applyAlignment="1" applyProtection="1">
      <alignment horizontal="right"/>
    </xf>
    <xf numFmtId="0" fontId="19" fillId="0" borderId="0" xfId="0" applyFont="1" applyFill="1" applyBorder="1" applyAlignment="1" applyProtection="1"/>
    <xf numFmtId="38" fontId="21" fillId="0" borderId="0" xfId="8" applyNumberFormat="1" applyFont="1" applyFill="1" applyBorder="1" applyAlignment="1" applyProtection="1">
      <alignment horizontal="center"/>
    </xf>
    <xf numFmtId="6" fontId="21" fillId="0" borderId="0" xfId="8" applyNumberFormat="1" applyFont="1" applyFill="1" applyBorder="1" applyAlignment="1" applyProtection="1">
      <alignment horizontal="center"/>
    </xf>
    <xf numFmtId="6" fontId="21" fillId="3" borderId="0" xfId="8" applyNumberFormat="1" applyFont="1" applyFill="1" applyBorder="1" applyAlignment="1" applyProtection="1">
      <alignment horizontal="center"/>
    </xf>
    <xf numFmtId="0" fontId="19" fillId="3" borderId="0" xfId="0" applyFont="1" applyFill="1" applyBorder="1"/>
    <xf numFmtId="0" fontId="28" fillId="0" borderId="0" xfId="0" applyFont="1" applyFill="1" applyBorder="1" applyAlignment="1" applyProtection="1">
      <alignment horizontal="right" vertical="center"/>
    </xf>
    <xf numFmtId="0" fontId="14" fillId="0" borderId="0" xfId="0" applyFont="1" applyFill="1" applyBorder="1" applyAlignment="1" applyProtection="1"/>
    <xf numFmtId="0" fontId="14" fillId="0" borderId="0" xfId="0" applyFont="1" applyAlignment="1"/>
    <xf numFmtId="6" fontId="14" fillId="0" borderId="0" xfId="0" applyNumberFormat="1" applyFont="1" applyAlignment="1">
      <alignment horizontal="right"/>
    </xf>
    <xf numFmtId="0" fontId="93" fillId="0" borderId="0" xfId="0" applyFont="1" applyBorder="1" applyAlignment="1">
      <alignment horizontal="left"/>
    </xf>
    <xf numFmtId="0" fontId="3" fillId="0" borderId="0" xfId="0" quotePrefix="1" applyFont="1" applyBorder="1" applyAlignment="1">
      <alignment horizontal="left" wrapText="1"/>
    </xf>
    <xf numFmtId="0" fontId="3" fillId="0" borderId="0" xfId="0" applyFont="1" applyAlignment="1">
      <alignment horizontal="left" wrapText="1"/>
    </xf>
    <xf numFmtId="0" fontId="96" fillId="0" borderId="0" xfId="0" applyFont="1" applyBorder="1" applyAlignment="1">
      <alignment horizontal="center" vertical="center"/>
    </xf>
    <xf numFmtId="0" fontId="35" fillId="0" borderId="136" xfId="0" quotePrefix="1" applyFont="1" applyBorder="1" applyAlignment="1">
      <alignment horizontal="center" vertical="center" wrapText="1"/>
    </xf>
    <xf numFmtId="2" fontId="18" fillId="2" borderId="136" xfId="0" applyNumberFormat="1" applyFont="1" applyFill="1" applyBorder="1" applyAlignment="1">
      <alignment horizontal="center" wrapText="1"/>
    </xf>
    <xf numFmtId="10" fontId="18" fillId="2" borderId="136" xfId="0" applyNumberFormat="1" applyFont="1" applyFill="1" applyBorder="1" applyAlignment="1">
      <alignment horizontal="center" wrapText="1"/>
    </xf>
    <xf numFmtId="164" fontId="14" fillId="10" borderId="136" xfId="1" applyNumberFormat="1" applyFont="1" applyFill="1" applyBorder="1" applyAlignment="1">
      <alignment horizontal="center"/>
    </xf>
    <xf numFmtId="1" fontId="18" fillId="10" borderId="134" xfId="1" applyNumberFormat="1" applyFont="1" applyFill="1" applyBorder="1" applyAlignment="1">
      <alignment horizontal="center"/>
    </xf>
    <xf numFmtId="0" fontId="14" fillId="0" borderId="135" xfId="0" applyFont="1" applyBorder="1" applyAlignment="1">
      <alignment horizontal="center"/>
    </xf>
    <xf numFmtId="0" fontId="14" fillId="0" borderId="135" xfId="0" applyFont="1" applyBorder="1"/>
    <xf numFmtId="38" fontId="14" fillId="0" borderId="137" xfId="0" applyNumberFormat="1" applyFont="1" applyBorder="1"/>
    <xf numFmtId="0" fontId="14" fillId="0" borderId="137" xfId="0" applyFont="1" applyBorder="1"/>
    <xf numFmtId="38" fontId="14" fillId="0" borderId="135" xfId="0" applyNumberFormat="1" applyFont="1" applyBorder="1"/>
    <xf numFmtId="0" fontId="0" fillId="0" borderId="137" xfId="0" applyBorder="1"/>
    <xf numFmtId="3" fontId="14" fillId="0" borderId="137" xfId="0" applyNumberFormat="1" applyFont="1" applyBorder="1" applyAlignment="1">
      <alignment horizontal="center"/>
    </xf>
    <xf numFmtId="165" fontId="14" fillId="0" borderId="84" xfId="0" applyNumberFormat="1" applyFont="1" applyBorder="1"/>
    <xf numFmtId="3" fontId="14" fillId="0" borderId="138" xfId="0" applyNumberFormat="1" applyFont="1" applyBorder="1" applyAlignment="1">
      <alignment horizontal="center"/>
    </xf>
    <xf numFmtId="165" fontId="14" fillId="0" borderId="176" xfId="0" applyNumberFormat="1" applyFont="1" applyBorder="1"/>
    <xf numFmtId="165" fontId="14" fillId="0" borderId="137" xfId="0" applyNumberFormat="1" applyFont="1" applyFill="1" applyBorder="1"/>
    <xf numFmtId="6" fontId="14" fillId="0" borderId="137" xfId="0" applyNumberFormat="1" applyFont="1" applyFill="1" applyBorder="1"/>
    <xf numFmtId="165" fontId="14" fillId="0" borderId="84" xfId="0" applyNumberFormat="1" applyFont="1" applyFill="1" applyBorder="1"/>
    <xf numFmtId="165" fontId="14" fillId="0" borderId="138" xfId="0" applyNumberFormat="1" applyFont="1" applyFill="1" applyBorder="1"/>
    <xf numFmtId="6" fontId="14" fillId="0" borderId="138" xfId="0" applyNumberFormat="1" applyFont="1" applyFill="1" applyBorder="1"/>
    <xf numFmtId="165" fontId="14" fillId="0" borderId="176" xfId="0" applyNumberFormat="1" applyFont="1" applyFill="1" applyBorder="1"/>
    <xf numFmtId="0" fontId="14" fillId="0" borderId="137" xfId="0" applyFont="1" applyBorder="1" applyAlignment="1">
      <alignment horizontal="center"/>
    </xf>
    <xf numFmtId="0" fontId="14" fillId="0" borderId="161" xfId="0" applyFont="1" applyBorder="1" applyAlignment="1">
      <alignment horizontal="center"/>
    </xf>
    <xf numFmtId="6" fontId="21" fillId="0" borderId="197" xfId="0" applyNumberFormat="1" applyFont="1" applyBorder="1"/>
    <xf numFmtId="0" fontId="97" fillId="0" borderId="0" xfId="0" applyFont="1"/>
    <xf numFmtId="0" fontId="98" fillId="0" borderId="0" xfId="0" applyFont="1"/>
    <xf numFmtId="0" fontId="35" fillId="0" borderId="0" xfId="0" quotePrefix="1" applyFont="1" applyBorder="1" applyAlignment="1">
      <alignment horizontal="center" vertical="center" wrapText="1"/>
    </xf>
    <xf numFmtId="0" fontId="19" fillId="0" borderId="0" xfId="0" applyFont="1" applyAlignment="1">
      <alignment horizontal="center"/>
    </xf>
    <xf numFmtId="0" fontId="19" fillId="0" borderId="0" xfId="0" applyFont="1" applyBorder="1" applyAlignment="1">
      <alignment horizontal="center"/>
    </xf>
    <xf numFmtId="0" fontId="19" fillId="0" borderId="0" xfId="0" applyFont="1" applyFill="1" applyBorder="1" applyAlignment="1">
      <alignment horizontal="center"/>
    </xf>
    <xf numFmtId="0" fontId="14" fillId="0" borderId="0" xfId="0" quotePrefix="1" applyFont="1" applyBorder="1"/>
    <xf numFmtId="0" fontId="99" fillId="0" borderId="0" xfId="0" quotePrefix="1" applyFont="1" applyBorder="1" applyAlignment="1">
      <alignment horizontal="left"/>
    </xf>
    <xf numFmtId="0" fontId="35" fillId="0" borderId="0" xfId="0" applyFont="1" applyBorder="1" applyAlignment="1">
      <alignment horizontal="center" vertical="center" wrapText="1"/>
    </xf>
    <xf numFmtId="0" fontId="12" fillId="0" borderId="159" xfId="0" applyFont="1" applyBorder="1" applyAlignment="1">
      <alignment horizontal="center"/>
    </xf>
    <xf numFmtId="0" fontId="35" fillId="0" borderId="159" xfId="0" quotePrefix="1" applyFont="1" applyBorder="1" applyAlignment="1">
      <alignment horizontal="center" vertical="center" wrapText="1"/>
    </xf>
    <xf numFmtId="0" fontId="35" fillId="0" borderId="135" xfId="0" quotePrefix="1" applyFont="1" applyBorder="1" applyAlignment="1">
      <alignment horizontal="center" vertical="center" wrapText="1"/>
    </xf>
    <xf numFmtId="0" fontId="12" fillId="0" borderId="136" xfId="0" applyFont="1" applyBorder="1" applyAlignment="1">
      <alignment horizontal="center"/>
    </xf>
    <xf numFmtId="0" fontId="12" fillId="0" borderId="0" xfId="0" applyFont="1" applyBorder="1" applyAlignment="1">
      <alignment horizontal="center"/>
    </xf>
    <xf numFmtId="0" fontId="12" fillId="0" borderId="136" xfId="0" applyFont="1" applyBorder="1" applyAlignment="1">
      <alignment horizontal="center" wrapText="1"/>
    </xf>
    <xf numFmtId="0" fontId="12" fillId="0" borderId="136" xfId="0" applyFont="1" applyBorder="1"/>
    <xf numFmtId="0" fontId="101" fillId="4" borderId="135" xfId="0" applyFont="1" applyFill="1" applyBorder="1" applyAlignment="1">
      <alignment horizontal="center" vertical="center" wrapText="1"/>
    </xf>
    <xf numFmtId="9" fontId="18" fillId="2" borderId="136" xfId="0" applyNumberFormat="1" applyFont="1" applyFill="1" applyBorder="1" applyAlignment="1">
      <alignment horizontal="center" vertical="center" wrapText="1"/>
    </xf>
    <xf numFmtId="164" fontId="14" fillId="10" borderId="134" xfId="1" applyNumberFormat="1" applyFont="1" applyFill="1" applyBorder="1" applyAlignment="1">
      <alignment horizontal="center"/>
    </xf>
    <xf numFmtId="0" fontId="18" fillId="10" borderId="136" xfId="1" quotePrefix="1" applyNumberFormat="1" applyFont="1" applyFill="1" applyBorder="1" applyAlignment="1">
      <alignment horizontal="center"/>
    </xf>
    <xf numFmtId="1" fontId="18" fillId="10" borderId="134" xfId="1" quotePrefix="1" applyNumberFormat="1" applyFont="1" applyFill="1" applyBorder="1" applyAlignment="1">
      <alignment horizontal="center"/>
    </xf>
    <xf numFmtId="0" fontId="14" fillId="0" borderId="180" xfId="0" applyFont="1" applyFill="1" applyBorder="1"/>
    <xf numFmtId="0" fontId="14" fillId="0" borderId="137" xfId="0" applyFont="1" applyFill="1" applyBorder="1"/>
    <xf numFmtId="0" fontId="14" fillId="0" borderId="84" xfId="0" applyFont="1" applyFill="1" applyBorder="1"/>
    <xf numFmtId="0" fontId="14" fillId="0" borderId="135" xfId="0" applyFont="1" applyFill="1" applyBorder="1"/>
    <xf numFmtId="0" fontId="14" fillId="0" borderId="159" xfId="0" applyFont="1" applyFill="1" applyBorder="1"/>
    <xf numFmtId="9" fontId="34" fillId="0" borderId="137" xfId="0" applyNumberFormat="1" applyFont="1" applyFill="1" applyBorder="1" applyAlignment="1">
      <alignment horizontal="center"/>
    </xf>
    <xf numFmtId="0" fontId="98" fillId="0" borderId="84" xfId="0" applyFont="1" applyFill="1" applyBorder="1"/>
    <xf numFmtId="10" fontId="14" fillId="0" borderId="135" xfId="0" applyNumberFormat="1" applyFont="1" applyFill="1" applyBorder="1"/>
    <xf numFmtId="9" fontId="94" fillId="0" borderId="137" xfId="0" applyNumberFormat="1" applyFont="1" applyFill="1" applyBorder="1"/>
    <xf numFmtId="9" fontId="14" fillId="0" borderId="84" xfId="0" applyNumberFormat="1" applyFont="1" applyFill="1" applyBorder="1"/>
    <xf numFmtId="9" fontId="14" fillId="0" borderId="137" xfId="0" applyNumberFormat="1" applyFont="1" applyFill="1" applyBorder="1"/>
    <xf numFmtId="0" fontId="14" fillId="0" borderId="180" xfId="0" applyFont="1" applyBorder="1"/>
    <xf numFmtId="0" fontId="14" fillId="0" borderId="198" xfId="0" applyFont="1" applyBorder="1"/>
    <xf numFmtId="10" fontId="14" fillId="3" borderId="137" xfId="3" applyNumberFormat="1" applyFont="1" applyFill="1" applyBorder="1"/>
    <xf numFmtId="6" fontId="14" fillId="3" borderId="137" xfId="2" applyNumberFormat="1" applyFont="1" applyFill="1" applyBorder="1"/>
    <xf numFmtId="2" fontId="102" fillId="0" borderId="137" xfId="10" applyNumberFormat="1" applyFont="1" applyFill="1" applyBorder="1" applyAlignment="1">
      <alignment horizontal="right" wrapText="1"/>
    </xf>
    <xf numFmtId="165" fontId="102" fillId="0" borderId="137" xfId="10" applyNumberFormat="1" applyFont="1" applyFill="1" applyBorder="1" applyAlignment="1">
      <alignment horizontal="right" wrapText="1"/>
    </xf>
    <xf numFmtId="0" fontId="102" fillId="0" borderId="137" xfId="10" applyFont="1" applyFill="1" applyBorder="1" applyAlignment="1">
      <alignment horizontal="right" wrapText="1"/>
    </xf>
    <xf numFmtId="1" fontId="102" fillId="0" borderId="137" xfId="10" applyNumberFormat="1" applyFont="1" applyFill="1" applyBorder="1" applyAlignment="1">
      <alignment horizontal="right" wrapText="1"/>
    </xf>
    <xf numFmtId="2" fontId="14" fillId="0" borderId="137" xfId="0" applyNumberFormat="1" applyFont="1" applyBorder="1"/>
    <xf numFmtId="4" fontId="14" fillId="0" borderId="137" xfId="1" applyNumberFormat="1" applyFont="1" applyBorder="1"/>
    <xf numFmtId="4" fontId="14" fillId="0" borderId="84" xfId="1" applyNumberFormat="1" applyFont="1" applyBorder="1"/>
    <xf numFmtId="40" fontId="14" fillId="0" borderId="137" xfId="0" applyNumberFormat="1" applyFont="1" applyFill="1" applyBorder="1"/>
    <xf numFmtId="10" fontId="14" fillId="0" borderId="137" xfId="0" applyNumberFormat="1" applyFont="1" applyFill="1" applyBorder="1"/>
    <xf numFmtId="170" fontId="14" fillId="0" borderId="137" xfId="3" applyNumberFormat="1" applyFont="1" applyFill="1" applyBorder="1"/>
    <xf numFmtId="10" fontId="14" fillId="3" borderId="137" xfId="0" applyNumberFormat="1" applyFont="1" applyFill="1" applyBorder="1"/>
    <xf numFmtId="165" fontId="14" fillId="3" borderId="137" xfId="0" applyNumberFormat="1" applyFont="1" applyFill="1" applyBorder="1"/>
    <xf numFmtId="10" fontId="14" fillId="0" borderId="137" xfId="3" applyNumberFormat="1" applyFont="1" applyFill="1" applyBorder="1"/>
    <xf numFmtId="3" fontId="14" fillId="0" borderId="176" xfId="0" applyNumberFormat="1" applyFont="1" applyBorder="1"/>
    <xf numFmtId="10" fontId="14" fillId="3" borderId="138" xfId="3" applyNumberFormat="1" applyFont="1" applyFill="1" applyBorder="1"/>
    <xf numFmtId="6" fontId="14" fillId="3" borderId="138" xfId="2" applyNumberFormat="1" applyFont="1" applyFill="1" applyBorder="1"/>
    <xf numFmtId="2" fontId="102" fillId="0" borderId="138" xfId="10" applyNumberFormat="1" applyFont="1" applyFill="1" applyBorder="1" applyAlignment="1">
      <alignment horizontal="right" wrapText="1"/>
    </xf>
    <xf numFmtId="165" fontId="102" fillId="0" borderId="138" xfId="10" applyNumberFormat="1" applyFont="1" applyFill="1" applyBorder="1" applyAlignment="1">
      <alignment horizontal="right" wrapText="1"/>
    </xf>
    <xf numFmtId="0" fontId="102" fillId="0" borderId="138" xfId="10" applyFont="1" applyFill="1" applyBorder="1" applyAlignment="1">
      <alignment horizontal="right" wrapText="1"/>
    </xf>
    <xf numFmtId="2" fontId="14" fillId="0" borderId="138" xfId="0" applyNumberFormat="1" applyFont="1" applyBorder="1"/>
    <xf numFmtId="4" fontId="14" fillId="0" borderId="138" xfId="1" applyNumberFormat="1" applyFont="1" applyBorder="1"/>
    <xf numFmtId="4" fontId="14" fillId="0" borderId="176" xfId="1" applyNumberFormat="1" applyFont="1" applyBorder="1"/>
    <xf numFmtId="40" fontId="14" fillId="0" borderId="138" xfId="0" applyNumberFormat="1" applyFont="1" applyFill="1" applyBorder="1"/>
    <xf numFmtId="10" fontId="14" fillId="0" borderId="138" xfId="0" applyNumberFormat="1" applyFont="1" applyFill="1" applyBorder="1"/>
    <xf numFmtId="170" fontId="14" fillId="0" borderId="138" xfId="3" applyNumberFormat="1" applyFont="1" applyFill="1" applyBorder="1"/>
    <xf numFmtId="10" fontId="14" fillId="3" borderId="138" xfId="0" applyNumberFormat="1" applyFont="1" applyFill="1" applyBorder="1"/>
    <xf numFmtId="165" fontId="14" fillId="3" borderId="138" xfId="0" applyNumberFormat="1" applyFont="1" applyFill="1" applyBorder="1"/>
    <xf numFmtId="10" fontId="14" fillId="0" borderId="138" xfId="3" applyNumberFormat="1" applyFont="1" applyFill="1" applyBorder="1"/>
    <xf numFmtId="10" fontId="14" fillId="5" borderId="137" xfId="0" applyNumberFormat="1" applyFont="1" applyFill="1" applyBorder="1"/>
    <xf numFmtId="165" fontId="14" fillId="5" borderId="137" xfId="0" applyNumberFormat="1" applyFont="1" applyFill="1" applyBorder="1"/>
    <xf numFmtId="10" fontId="14" fillId="5" borderId="137" xfId="3" applyNumberFormat="1" applyFont="1" applyFill="1" applyBorder="1"/>
    <xf numFmtId="6" fontId="14" fillId="5" borderId="137" xfId="2" applyNumberFormat="1" applyFont="1" applyFill="1" applyBorder="1"/>
    <xf numFmtId="165" fontId="48" fillId="0" borderId="137" xfId="0" applyNumberFormat="1" applyFont="1" applyFill="1" applyBorder="1"/>
    <xf numFmtId="3" fontId="14" fillId="0" borderId="84" xfId="0" applyNumberFormat="1" applyFont="1" applyFill="1" applyBorder="1"/>
    <xf numFmtId="2" fontId="14" fillId="0" borderId="137" xfId="0" applyNumberFormat="1" applyFont="1" applyFill="1" applyBorder="1"/>
    <xf numFmtId="4" fontId="14" fillId="0" borderId="137" xfId="1" applyNumberFormat="1" applyFont="1" applyFill="1" applyBorder="1"/>
    <xf numFmtId="4" fontId="14" fillId="0" borderId="84" xfId="1" applyNumberFormat="1" applyFont="1" applyFill="1" applyBorder="1"/>
    <xf numFmtId="165" fontId="103" fillId="0" borderId="137" xfId="0" applyNumberFormat="1" applyFont="1" applyFill="1" applyBorder="1"/>
    <xf numFmtId="10" fontId="14" fillId="5" borderId="138" xfId="0" applyNumberFormat="1" applyFont="1" applyFill="1" applyBorder="1"/>
    <xf numFmtId="165" fontId="14" fillId="5" borderId="138" xfId="0" applyNumberFormat="1" applyFont="1" applyFill="1" applyBorder="1"/>
    <xf numFmtId="10" fontId="14" fillId="5" borderId="138" xfId="3" applyNumberFormat="1" applyFont="1" applyFill="1" applyBorder="1"/>
    <xf numFmtId="6" fontId="14" fillId="5" borderId="138" xfId="2" applyNumberFormat="1" applyFont="1" applyFill="1" applyBorder="1"/>
    <xf numFmtId="170" fontId="14" fillId="4" borderId="137" xfId="3" applyNumberFormat="1" applyFont="1" applyFill="1" applyBorder="1"/>
    <xf numFmtId="2" fontId="0" fillId="0" borderId="137" xfId="0" applyNumberFormat="1" applyFill="1" applyBorder="1"/>
    <xf numFmtId="165" fontId="0" fillId="0" borderId="137" xfId="0" applyNumberFormat="1" applyFill="1" applyBorder="1"/>
    <xf numFmtId="0" fontId="0" fillId="0" borderId="137" xfId="0" applyFill="1" applyBorder="1"/>
    <xf numFmtId="10" fontId="14" fillId="3" borderId="84" xfId="3" applyNumberFormat="1" applyFont="1" applyFill="1" applyBorder="1"/>
    <xf numFmtId="1" fontId="14" fillId="0" borderId="137" xfId="0" applyNumberFormat="1" applyFont="1" applyFill="1" applyBorder="1"/>
    <xf numFmtId="165" fontId="14" fillId="41" borderId="137" xfId="0" applyNumberFormat="1" applyFont="1" applyFill="1" applyBorder="1"/>
    <xf numFmtId="4" fontId="14" fillId="41" borderId="137" xfId="1" applyNumberFormat="1" applyFont="1" applyFill="1" applyBorder="1"/>
    <xf numFmtId="4" fontId="14" fillId="41" borderId="84" xfId="1" applyNumberFormat="1" applyFont="1" applyFill="1" applyBorder="1"/>
    <xf numFmtId="40" fontId="14" fillId="41" borderId="137" xfId="0" applyNumberFormat="1" applyFont="1" applyFill="1" applyBorder="1"/>
    <xf numFmtId="0" fontId="14" fillId="0" borderId="161" xfId="0" applyFont="1" applyBorder="1" applyAlignment="1">
      <alignment horizontal="right"/>
    </xf>
    <xf numFmtId="0" fontId="21" fillId="0" borderId="197" xfId="0" applyFont="1" applyBorder="1" applyAlignment="1">
      <alignment horizontal="right"/>
    </xf>
    <xf numFmtId="5" fontId="21" fillId="0" borderId="161" xfId="2" applyNumberFormat="1" applyFont="1" applyBorder="1" applyAlignment="1">
      <alignment horizontal="right"/>
    </xf>
    <xf numFmtId="5" fontId="21" fillId="0" borderId="163" xfId="2" applyNumberFormat="1" applyFont="1" applyBorder="1" applyAlignment="1">
      <alignment horizontal="right"/>
    </xf>
    <xf numFmtId="10" fontId="21" fillId="0" borderId="163" xfId="3" applyNumberFormat="1" applyFont="1" applyBorder="1" applyAlignment="1">
      <alignment horizontal="right"/>
    </xf>
    <xf numFmtId="6" fontId="21" fillId="0" borderId="161" xfId="2" applyNumberFormat="1" applyFont="1" applyBorder="1" applyAlignment="1">
      <alignment horizontal="right"/>
    </xf>
    <xf numFmtId="2" fontId="21" fillId="0" borderId="163" xfId="0" applyNumberFormat="1" applyFont="1" applyBorder="1" applyAlignment="1">
      <alignment horizontal="right"/>
    </xf>
    <xf numFmtId="0" fontId="21" fillId="0" borderId="161" xfId="0" applyFont="1" applyBorder="1" applyAlignment="1">
      <alignment horizontal="right"/>
    </xf>
    <xf numFmtId="0" fontId="21" fillId="0" borderId="161" xfId="0" applyFont="1" applyFill="1" applyBorder="1" applyAlignment="1">
      <alignment horizontal="right"/>
    </xf>
    <xf numFmtId="5" fontId="21" fillId="0" borderId="161" xfId="2" applyNumberFormat="1" applyFont="1" applyFill="1" applyBorder="1" applyAlignment="1">
      <alignment horizontal="right"/>
    </xf>
    <xf numFmtId="43" fontId="21" fillId="0" borderId="161" xfId="1" applyNumberFormat="1" applyFont="1" applyBorder="1" applyAlignment="1">
      <alignment horizontal="right"/>
    </xf>
    <xf numFmtId="43" fontId="21" fillId="0" borderId="161" xfId="1" applyFont="1" applyBorder="1" applyAlignment="1">
      <alignment horizontal="right"/>
    </xf>
    <xf numFmtId="43" fontId="21" fillId="0" borderId="197" xfId="1" applyNumberFormat="1" applyFont="1" applyBorder="1" applyAlignment="1">
      <alignment horizontal="right"/>
    </xf>
    <xf numFmtId="10" fontId="21" fillId="0" borderId="163" xfId="2" applyNumberFormat="1" applyFont="1" applyFill="1" applyBorder="1" applyAlignment="1">
      <alignment horizontal="right"/>
    </xf>
    <xf numFmtId="6" fontId="21" fillId="0" borderId="163" xfId="2" applyNumberFormat="1" applyFont="1" applyBorder="1" applyAlignment="1">
      <alignment horizontal="right"/>
    </xf>
    <xf numFmtId="10" fontId="21" fillId="0" borderId="163" xfId="2" applyNumberFormat="1" applyFont="1" applyBorder="1" applyAlignment="1">
      <alignment horizontal="right"/>
    </xf>
    <xf numFmtId="10" fontId="21" fillId="0" borderId="161" xfId="0" applyNumberFormat="1" applyFont="1" applyBorder="1" applyAlignment="1">
      <alignment horizontal="right"/>
    </xf>
    <xf numFmtId="0" fontId="14" fillId="0" borderId="84" xfId="4" applyFont="1" applyBorder="1"/>
    <xf numFmtId="0" fontId="14" fillId="0" borderId="0" xfId="4" applyFont="1"/>
    <xf numFmtId="0" fontId="14" fillId="0" borderId="113" xfId="4" applyFont="1" applyBorder="1"/>
    <xf numFmtId="0" fontId="14" fillId="10" borderId="136" xfId="4" applyFont="1" applyFill="1" applyBorder="1"/>
    <xf numFmtId="0" fontId="18" fillId="10" borderId="136" xfId="6" quotePrefix="1" applyNumberFormat="1" applyFont="1" applyFill="1" applyBorder="1" applyAlignment="1">
      <alignment horizontal="center"/>
    </xf>
    <xf numFmtId="0" fontId="17" fillId="0" borderId="199" xfId="4" applyFont="1" applyFill="1" applyBorder="1" applyProtection="1"/>
    <xf numFmtId="0" fontId="17" fillId="0" borderId="142" xfId="4" applyFont="1" applyFill="1" applyBorder="1" applyProtection="1"/>
    <xf numFmtId="6" fontId="14" fillId="3" borderId="137" xfId="4" applyNumberFormat="1" applyFont="1" applyFill="1" applyBorder="1" applyProtection="1"/>
    <xf numFmtId="6" fontId="14" fillId="5" borderId="137" xfId="6" applyNumberFormat="1" applyFont="1" applyFill="1" applyBorder="1"/>
    <xf numFmtId="6" fontId="14" fillId="0" borderId="137" xfId="4" applyNumberFormat="1" applyFont="1" applyBorder="1" applyProtection="1"/>
    <xf numFmtId="6" fontId="14" fillId="0" borderId="137" xfId="4" applyNumberFormat="1" applyFont="1" applyFill="1" applyBorder="1" applyProtection="1"/>
    <xf numFmtId="0" fontId="17" fillId="0" borderId="200" xfId="4" applyFont="1" applyFill="1" applyBorder="1" applyProtection="1"/>
    <xf numFmtId="0" fontId="17" fillId="0" borderId="144" xfId="4" applyFont="1" applyFill="1" applyBorder="1" applyProtection="1"/>
    <xf numFmtId="6" fontId="14" fillId="3" borderId="138" xfId="4" applyNumberFormat="1" applyFont="1" applyFill="1" applyBorder="1" applyProtection="1"/>
    <xf numFmtId="6" fontId="14" fillId="5" borderId="138" xfId="6" applyNumberFormat="1" applyFont="1" applyFill="1" applyBorder="1"/>
    <xf numFmtId="6" fontId="14" fillId="0" borderId="138" xfId="4" applyNumberFormat="1" applyFont="1" applyFill="1" applyBorder="1" applyProtection="1"/>
    <xf numFmtId="0" fontId="17" fillId="0" borderId="201" xfId="4" applyFont="1" applyFill="1" applyBorder="1" applyProtection="1"/>
    <xf numFmtId="0" fontId="17" fillId="0" borderId="202" xfId="4" applyFont="1" applyFill="1" applyBorder="1" applyProtection="1"/>
    <xf numFmtId="0" fontId="17" fillId="0" borderId="139" xfId="4" applyFont="1" applyFill="1" applyBorder="1" applyProtection="1"/>
    <xf numFmtId="0" fontId="17" fillId="0" borderId="203" xfId="4" applyFont="1" applyFill="1" applyBorder="1" applyProtection="1"/>
    <xf numFmtId="0" fontId="64" fillId="22" borderId="204" xfId="4" applyFont="1" applyFill="1" applyBorder="1" applyProtection="1"/>
    <xf numFmtId="0" fontId="65" fillId="22" borderId="205" xfId="4" applyFont="1" applyFill="1" applyBorder="1" applyAlignment="1" applyProtection="1">
      <alignment horizontal="center"/>
    </xf>
    <xf numFmtId="6" fontId="19" fillId="0" borderId="206" xfId="6" applyNumberFormat="1" applyFont="1" applyBorder="1" applyAlignment="1">
      <alignment horizontal="right"/>
    </xf>
    <xf numFmtId="6" fontId="19" fillId="5" borderId="206" xfId="6" applyNumberFormat="1" applyFont="1" applyFill="1" applyBorder="1" applyAlignment="1">
      <alignment horizontal="right"/>
    </xf>
    <xf numFmtId="0" fontId="19" fillId="0" borderId="0" xfId="4" applyFont="1"/>
    <xf numFmtId="0" fontId="17" fillId="15" borderId="176" xfId="4" applyFont="1" applyFill="1" applyBorder="1"/>
    <xf numFmtId="0" fontId="65" fillId="15" borderId="60" xfId="4" applyFont="1" applyFill="1" applyBorder="1" applyAlignment="1" applyProtection="1"/>
    <xf numFmtId="6" fontId="14" fillId="15" borderId="60" xfId="4" applyNumberFormat="1" applyFont="1" applyFill="1" applyBorder="1"/>
    <xf numFmtId="6" fontId="14" fillId="15" borderId="160" xfId="4" applyNumberFormat="1" applyFont="1" applyFill="1" applyBorder="1"/>
    <xf numFmtId="0" fontId="17" fillId="0" borderId="135" xfId="4" applyFont="1" applyBorder="1"/>
    <xf numFmtId="6" fontId="14" fillId="3" borderId="135" xfId="4" applyNumberFormat="1" applyFont="1" applyFill="1" applyBorder="1" applyProtection="1"/>
    <xf numFmtId="6" fontId="14" fillId="0" borderId="135" xfId="4" applyNumberFormat="1" applyFont="1" applyBorder="1" applyProtection="1"/>
    <xf numFmtId="6" fontId="14" fillId="0" borderId="159" xfId="4" applyNumberFormat="1" applyFont="1" applyBorder="1" applyProtection="1"/>
    <xf numFmtId="0" fontId="17" fillId="0" borderId="207" xfId="4" applyFont="1" applyFill="1" applyBorder="1" applyProtection="1"/>
    <xf numFmtId="6" fontId="14" fillId="0" borderId="113" xfId="4" applyNumberFormat="1" applyFont="1" applyFill="1" applyBorder="1" applyProtection="1"/>
    <xf numFmtId="6" fontId="14" fillId="3" borderId="113" xfId="4" applyNumberFormat="1" applyFont="1" applyFill="1" applyBorder="1" applyProtection="1"/>
    <xf numFmtId="6" fontId="14" fillId="5" borderId="113" xfId="6" applyNumberFormat="1" applyFont="1" applyFill="1" applyBorder="1"/>
    <xf numFmtId="0" fontId="17" fillId="22" borderId="204" xfId="4" applyFont="1" applyFill="1" applyBorder="1" applyProtection="1"/>
    <xf numFmtId="0" fontId="65" fillId="22" borderId="208" xfId="4" applyFont="1" applyFill="1" applyBorder="1" applyAlignment="1" applyProtection="1">
      <alignment horizontal="center"/>
    </xf>
    <xf numFmtId="6" fontId="19" fillId="0" borderId="209" xfId="6" applyNumberFormat="1" applyFont="1" applyFill="1" applyBorder="1" applyAlignment="1">
      <alignment horizontal="right"/>
    </xf>
    <xf numFmtId="6" fontId="19" fillId="5" borderId="209" xfId="6" applyNumberFormat="1" applyFont="1" applyFill="1" applyBorder="1" applyAlignment="1">
      <alignment horizontal="right"/>
    </xf>
    <xf numFmtId="0" fontId="17" fillId="8" borderId="210" xfId="4" applyFont="1" applyFill="1" applyBorder="1"/>
    <xf numFmtId="0" fontId="65" fillId="8" borderId="211" xfId="4" applyFont="1" applyFill="1" applyBorder="1" applyAlignment="1" applyProtection="1"/>
    <xf numFmtId="0" fontId="65" fillId="8" borderId="212" xfId="4" applyFont="1" applyFill="1" applyBorder="1" applyAlignment="1" applyProtection="1"/>
    <xf numFmtId="0" fontId="17" fillId="0" borderId="136" xfId="4" applyFont="1" applyFill="1" applyBorder="1"/>
    <xf numFmtId="0" fontId="14" fillId="0" borderId="110" xfId="4" applyFont="1" applyFill="1" applyBorder="1" applyAlignment="1" applyProtection="1"/>
    <xf numFmtId="6" fontId="14" fillId="5" borderId="113" xfId="4" applyNumberFormat="1" applyFont="1" applyFill="1" applyBorder="1" applyProtection="1"/>
    <xf numFmtId="0" fontId="14" fillId="0" borderId="0" xfId="4" applyFont="1" applyFill="1"/>
    <xf numFmtId="0" fontId="17" fillId="0" borderId="171" xfId="4" applyFont="1" applyFill="1" applyBorder="1"/>
    <xf numFmtId="0" fontId="65" fillId="0" borderId="213" xfId="4" applyFont="1" applyFill="1" applyBorder="1" applyAlignment="1" applyProtection="1">
      <alignment horizontal="center"/>
    </xf>
    <xf numFmtId="6" fontId="19" fillId="0" borderId="209" xfId="4" applyNumberFormat="1" applyFont="1" applyFill="1" applyBorder="1" applyProtection="1"/>
    <xf numFmtId="6" fontId="19" fillId="5" borderId="209" xfId="4" applyNumberFormat="1" applyFont="1" applyFill="1" applyBorder="1" applyProtection="1"/>
    <xf numFmtId="0" fontId="17" fillId="8" borderId="214" xfId="4" applyFont="1" applyFill="1" applyBorder="1"/>
    <xf numFmtId="0" fontId="65" fillId="8" borderId="215" xfId="4" applyFont="1" applyFill="1" applyBorder="1" applyAlignment="1" applyProtection="1"/>
    <xf numFmtId="0" fontId="17" fillId="0" borderId="135" xfId="4" applyFont="1" applyFill="1" applyBorder="1" applyAlignment="1">
      <alignment horizontal="left"/>
    </xf>
    <xf numFmtId="0" fontId="14" fillId="0" borderId="159" xfId="4" applyFont="1" applyFill="1" applyBorder="1" applyAlignment="1" applyProtection="1">
      <alignment vertical="top" wrapText="1"/>
    </xf>
    <xf numFmtId="6" fontId="14" fillId="0" borderId="159" xfId="4" applyNumberFormat="1" applyFont="1" applyFill="1" applyBorder="1" applyProtection="1"/>
    <xf numFmtId="6" fontId="14" fillId="5" borderId="159" xfId="4" applyNumberFormat="1" applyFont="1" applyFill="1" applyBorder="1" applyProtection="1"/>
    <xf numFmtId="0" fontId="17" fillId="0" borderId="137" xfId="4" applyFont="1" applyFill="1" applyBorder="1" applyAlignment="1">
      <alignment horizontal="left"/>
    </xf>
    <xf numFmtId="0" fontId="14" fillId="0" borderId="113" xfId="4" applyFont="1" applyFill="1" applyBorder="1" applyAlignment="1" applyProtection="1"/>
    <xf numFmtId="0" fontId="14" fillId="0" borderId="113" xfId="4" applyFont="1" applyFill="1" applyBorder="1" applyAlignment="1" applyProtection="1">
      <alignment wrapText="1"/>
    </xf>
    <xf numFmtId="6" fontId="14" fillId="0" borderId="113" xfId="6" applyNumberFormat="1" applyFont="1" applyFill="1" applyBorder="1" applyAlignment="1">
      <alignment horizontal="right"/>
    </xf>
    <xf numFmtId="6" fontId="14" fillId="5" borderId="113" xfId="6" applyNumberFormat="1" applyFont="1" applyFill="1" applyBorder="1" applyAlignment="1">
      <alignment horizontal="right"/>
    </xf>
    <xf numFmtId="6" fontId="14" fillId="0" borderId="113" xfId="4" applyNumberFormat="1" applyFont="1" applyFill="1" applyBorder="1"/>
    <xf numFmtId="6" fontId="14" fillId="5" borderId="113" xfId="4" applyNumberFormat="1" applyFont="1" applyFill="1" applyBorder="1"/>
    <xf numFmtId="0" fontId="19" fillId="0" borderId="60" xfId="4" applyFont="1" applyBorder="1"/>
    <xf numFmtId="0" fontId="17" fillId="0" borderId="138" xfId="4" applyFont="1" applyFill="1" applyBorder="1" applyAlignment="1">
      <alignment horizontal="left"/>
    </xf>
    <xf numFmtId="0" fontId="14" fillId="0" borderId="160" xfId="4" applyFont="1" applyFill="1" applyBorder="1" applyAlignment="1" applyProtection="1"/>
    <xf numFmtId="0" fontId="65" fillId="0" borderId="113" xfId="4" applyFont="1" applyFill="1" applyBorder="1" applyAlignment="1" applyProtection="1">
      <alignment horizontal="center"/>
    </xf>
    <xf numFmtId="6" fontId="19" fillId="0" borderId="206" xfId="4" applyNumberFormat="1" applyFont="1" applyFill="1" applyBorder="1" applyProtection="1"/>
    <xf numFmtId="0" fontId="17" fillId="8" borderId="214" xfId="4" applyFont="1" applyFill="1" applyBorder="1" applyAlignment="1">
      <alignment horizontal="left"/>
    </xf>
    <xf numFmtId="0" fontId="65" fillId="8" borderId="215" xfId="4" applyFont="1" applyFill="1" applyBorder="1" applyAlignment="1" applyProtection="1">
      <alignment horizontal="center"/>
    </xf>
    <xf numFmtId="0" fontId="14" fillId="0" borderId="159" xfId="4" applyFont="1" applyFill="1" applyBorder="1" applyAlignment="1" applyProtection="1">
      <alignment horizontal="left"/>
    </xf>
    <xf numFmtId="0" fontId="14" fillId="0" borderId="160" xfId="4" applyFont="1" applyFill="1" applyBorder="1" applyAlignment="1" applyProtection="1">
      <alignment horizontal="left"/>
    </xf>
    <xf numFmtId="0" fontId="17" fillId="0" borderId="171" xfId="4" applyFont="1" applyFill="1" applyBorder="1" applyAlignment="1">
      <alignment horizontal="left"/>
    </xf>
    <xf numFmtId="0" fontId="17" fillId="15" borderId="214" xfId="4" applyFont="1" applyFill="1" applyBorder="1" applyAlignment="1">
      <alignment horizontal="left"/>
    </xf>
    <xf numFmtId="0" fontId="65" fillId="15" borderId="215" xfId="4" applyFont="1" applyFill="1" applyBorder="1" applyAlignment="1" applyProtection="1"/>
    <xf numFmtId="0" fontId="17" fillId="3" borderId="199" xfId="4" applyFont="1" applyFill="1" applyBorder="1" applyAlignment="1" applyProtection="1">
      <alignment horizontal="left"/>
    </xf>
    <xf numFmtId="0" fontId="17" fillId="3" borderId="137" xfId="4" applyNumberFormat="1" applyFont="1" applyFill="1" applyBorder="1" applyProtection="1"/>
    <xf numFmtId="0" fontId="17" fillId="3" borderId="138" xfId="4" applyNumberFormat="1" applyFont="1" applyFill="1" applyBorder="1" applyProtection="1"/>
    <xf numFmtId="0" fontId="17" fillId="22" borderId="204" xfId="4" applyFont="1" applyFill="1" applyBorder="1" applyAlignment="1" applyProtection="1">
      <alignment horizontal="left"/>
    </xf>
    <xf numFmtId="6" fontId="19" fillId="5" borderId="209" xfId="6" applyNumberFormat="1" applyFont="1" applyFill="1" applyBorder="1"/>
    <xf numFmtId="0" fontId="17" fillId="8" borderId="134" xfId="4" applyFont="1" applyFill="1" applyBorder="1" applyAlignment="1">
      <alignment horizontal="left"/>
    </xf>
    <xf numFmtId="0" fontId="65" fillId="8" borderId="99" xfId="4" applyFont="1" applyFill="1" applyBorder="1" applyAlignment="1" applyProtection="1">
      <alignment horizontal="center"/>
    </xf>
    <xf numFmtId="0" fontId="17" fillId="3" borderId="113" xfId="4" applyNumberFormat="1" applyFont="1" applyFill="1" applyBorder="1" applyProtection="1"/>
    <xf numFmtId="6" fontId="19" fillId="0" borderId="159" xfId="4" applyNumberFormat="1" applyFont="1" applyFill="1" applyBorder="1" applyProtection="1"/>
    <xf numFmtId="0" fontId="17" fillId="8" borderId="210" xfId="4" applyFont="1" applyFill="1" applyBorder="1" applyAlignment="1">
      <alignment horizontal="left"/>
    </xf>
    <xf numFmtId="0" fontId="104" fillId="0" borderId="159" xfId="4" applyFont="1" applyFill="1" applyBorder="1" applyAlignment="1" applyProtection="1">
      <alignment horizontal="left" vertical="top"/>
    </xf>
    <xf numFmtId="6" fontId="14" fillId="5" borderId="159" xfId="6" applyNumberFormat="1" applyFont="1" applyFill="1" applyBorder="1"/>
    <xf numFmtId="0" fontId="104" fillId="0" borderId="113" xfId="4" applyFont="1" applyFill="1" applyBorder="1" applyAlignment="1" applyProtection="1">
      <alignment horizontal="left" vertical="top"/>
    </xf>
    <xf numFmtId="0" fontId="17" fillId="0" borderId="197" xfId="4" applyFont="1" applyFill="1" applyBorder="1" applyAlignment="1">
      <alignment horizontal="left"/>
    </xf>
    <xf numFmtId="6" fontId="19" fillId="3" borderId="209" xfId="6" applyNumberFormat="1" applyFont="1" applyFill="1" applyBorder="1"/>
    <xf numFmtId="0" fontId="17" fillId="8" borderId="176" xfId="4" applyFont="1" applyFill="1" applyBorder="1" applyAlignment="1">
      <alignment horizontal="left"/>
    </xf>
    <xf numFmtId="0" fontId="65" fillId="8" borderId="60" xfId="4" applyFont="1" applyFill="1" applyBorder="1" applyAlignment="1" applyProtection="1">
      <alignment horizontal="center"/>
    </xf>
    <xf numFmtId="0" fontId="17" fillId="0" borderId="136" xfId="4" applyFont="1" applyFill="1" applyBorder="1" applyAlignment="1">
      <alignment horizontal="left"/>
    </xf>
    <xf numFmtId="0" fontId="64" fillId="0" borderId="135" xfId="4" applyFont="1" applyFill="1" applyBorder="1" applyAlignment="1">
      <alignment horizontal="left"/>
    </xf>
    <xf numFmtId="6" fontId="14" fillId="0" borderId="135" xfId="4" applyNumberFormat="1" applyFont="1" applyFill="1" applyBorder="1" applyProtection="1"/>
    <xf numFmtId="0" fontId="64" fillId="8" borderId="176" xfId="4" applyFont="1" applyFill="1" applyBorder="1" applyAlignment="1">
      <alignment horizontal="left"/>
    </xf>
    <xf numFmtId="0" fontId="104" fillId="0" borderId="159" xfId="4" applyFont="1" applyFill="1" applyBorder="1" applyAlignment="1" applyProtection="1">
      <alignment horizontal="left"/>
    </xf>
    <xf numFmtId="0" fontId="17" fillId="3" borderId="216" xfId="4" applyFont="1" applyFill="1" applyBorder="1" applyAlignment="1" applyProtection="1">
      <alignment horizontal="left"/>
    </xf>
    <xf numFmtId="0" fontId="17" fillId="0" borderId="217" xfId="4" applyNumberFormat="1" applyFont="1" applyFill="1" applyBorder="1" applyProtection="1"/>
    <xf numFmtId="0" fontId="17" fillId="0" borderId="218" xfId="4" applyNumberFormat="1" applyFont="1" applyFill="1" applyBorder="1" applyProtection="1"/>
    <xf numFmtId="0" fontId="17" fillId="15" borderId="134" xfId="4" applyFont="1" applyFill="1" applyBorder="1"/>
    <xf numFmtId="0" fontId="65" fillId="15" borderId="211" xfId="4" applyFont="1" applyFill="1" applyBorder="1" applyAlignment="1" applyProtection="1"/>
    <xf numFmtId="0" fontId="17" fillId="0" borderId="137" xfId="0" applyFont="1" applyFill="1" applyBorder="1" applyAlignment="1">
      <alignment horizontal="left" vertical="top" wrapText="1"/>
    </xf>
    <xf numFmtId="0" fontId="17" fillId="0" borderId="137" xfId="0" applyFont="1" applyFill="1" applyBorder="1" applyAlignment="1">
      <alignment horizontal="left" wrapText="1"/>
    </xf>
    <xf numFmtId="0" fontId="17" fillId="0" borderId="137" xfId="4" applyFont="1" applyFill="1" applyBorder="1" applyProtection="1"/>
    <xf numFmtId="0" fontId="17" fillId="0" borderId="138" xfId="4" applyFont="1" applyFill="1" applyBorder="1" applyProtection="1"/>
    <xf numFmtId="0" fontId="17" fillId="0" borderId="138" xfId="0" applyFont="1" applyFill="1" applyBorder="1" applyAlignment="1">
      <alignment horizontal="left" wrapText="1"/>
    </xf>
    <xf numFmtId="6" fontId="14" fillId="0" borderId="135" xfId="6" applyNumberFormat="1" applyFont="1" applyFill="1" applyBorder="1" applyAlignment="1">
      <alignment horizontal="right"/>
    </xf>
    <xf numFmtId="6" fontId="14" fillId="0" borderId="159" xfId="6" applyNumberFormat="1" applyFont="1" applyFill="1" applyBorder="1" applyAlignment="1">
      <alignment horizontal="right"/>
    </xf>
    <xf numFmtId="6" fontId="14" fillId="5" borderId="159" xfId="6" applyNumberFormat="1" applyFont="1" applyFill="1" applyBorder="1" applyAlignment="1">
      <alignment horizontal="right"/>
    </xf>
    <xf numFmtId="6" fontId="14" fillId="0" borderId="160" xfId="4" applyNumberFormat="1" applyFont="1" applyFill="1" applyBorder="1"/>
    <xf numFmtId="6" fontId="14" fillId="5" borderId="160" xfId="4" applyNumberFormat="1" applyFont="1" applyFill="1" applyBorder="1"/>
    <xf numFmtId="0" fontId="14" fillId="0" borderId="0" xfId="4" applyFont="1" applyBorder="1"/>
    <xf numFmtId="0" fontId="14" fillId="0" borderId="60" xfId="4" applyFont="1" applyBorder="1"/>
    <xf numFmtId="0" fontId="17" fillId="0" borderId="135" xfId="4" applyFont="1" applyFill="1" applyBorder="1" applyProtection="1"/>
    <xf numFmtId="0" fontId="17" fillId="0" borderId="135" xfId="0" applyFont="1" applyFill="1" applyBorder="1" applyAlignment="1">
      <alignment horizontal="left" wrapText="1"/>
    </xf>
    <xf numFmtId="6" fontId="14" fillId="0" borderId="113" xfId="4" applyNumberFormat="1" applyFont="1" applyFill="1" applyBorder="1" applyAlignment="1">
      <alignment wrapText="1"/>
    </xf>
    <xf numFmtId="6" fontId="14" fillId="5" borderId="113" xfId="4" applyNumberFormat="1" applyFont="1" applyFill="1" applyBorder="1" applyAlignment="1">
      <alignment wrapText="1"/>
    </xf>
    <xf numFmtId="6" fontId="14" fillId="0" borderId="113" xfId="4" applyNumberFormat="1" applyFont="1" applyBorder="1"/>
    <xf numFmtId="6" fontId="14" fillId="0" borderId="113" xfId="4" quotePrefix="1" applyNumberFormat="1" applyFont="1" applyFill="1" applyBorder="1" applyAlignment="1">
      <alignment horizontal="right" wrapText="1"/>
    </xf>
    <xf numFmtId="6" fontId="14" fillId="0" borderId="113" xfId="1" applyNumberFormat="1" applyFont="1" applyBorder="1"/>
    <xf numFmtId="6" fontId="14" fillId="5" borderId="113" xfId="4" quotePrefix="1" applyNumberFormat="1" applyFont="1" applyFill="1" applyBorder="1" applyAlignment="1">
      <alignment horizontal="right" wrapText="1"/>
    </xf>
    <xf numFmtId="6" fontId="14" fillId="0" borderId="135" xfId="1" applyNumberFormat="1" applyFont="1" applyBorder="1"/>
    <xf numFmtId="6" fontId="14" fillId="0" borderId="159" xfId="1" applyNumberFormat="1" applyFont="1" applyBorder="1"/>
    <xf numFmtId="6" fontId="14" fillId="5" borderId="159" xfId="4" quotePrefix="1" applyNumberFormat="1" applyFont="1" applyFill="1" applyBorder="1" applyAlignment="1">
      <alignment horizontal="right" wrapText="1"/>
    </xf>
    <xf numFmtId="6" fontId="14" fillId="0" borderId="159" xfId="4" applyNumberFormat="1" applyFont="1" applyBorder="1"/>
    <xf numFmtId="6" fontId="14" fillId="0" borderId="135" xfId="4" applyNumberFormat="1" applyFont="1" applyBorder="1"/>
    <xf numFmtId="6" fontId="14" fillId="5" borderId="159" xfId="4" applyNumberFormat="1" applyFont="1" applyFill="1" applyBorder="1"/>
    <xf numFmtId="0" fontId="17" fillId="3" borderId="138" xfId="0" applyFont="1" applyFill="1" applyBorder="1" applyAlignment="1">
      <alignment horizontal="left" wrapText="1"/>
    </xf>
    <xf numFmtId="6" fontId="19" fillId="0" borderId="206" xfId="4" applyNumberFormat="1" applyFont="1" applyBorder="1"/>
    <xf numFmtId="6" fontId="19" fillId="0" borderId="209" xfId="4" applyNumberFormat="1" applyFont="1" applyBorder="1"/>
    <xf numFmtId="6" fontId="19" fillId="5" borderId="209" xfId="4" applyNumberFormat="1" applyFont="1" applyFill="1" applyBorder="1"/>
    <xf numFmtId="0" fontId="65" fillId="15" borderId="99" xfId="4" applyFont="1" applyFill="1" applyBorder="1" applyAlignment="1" applyProtection="1"/>
    <xf numFmtId="6" fontId="65" fillId="8" borderId="211" xfId="4" applyNumberFormat="1" applyFont="1" applyFill="1" applyBorder="1" applyAlignment="1" applyProtection="1"/>
    <xf numFmtId="6" fontId="65" fillId="8" borderId="212" xfId="4" applyNumberFormat="1" applyFont="1" applyFill="1" applyBorder="1" applyAlignment="1" applyProtection="1"/>
    <xf numFmtId="0" fontId="17" fillId="0" borderId="135" xfId="4" applyNumberFormat="1" applyFont="1" applyFill="1" applyBorder="1" applyProtection="1"/>
    <xf numFmtId="6" fontId="14" fillId="0" borderId="159" xfId="2" applyNumberFormat="1" applyFont="1" applyBorder="1"/>
    <xf numFmtId="0" fontId="17" fillId="0" borderId="137" xfId="4" applyNumberFormat="1" applyFont="1" applyFill="1" applyBorder="1" applyAlignment="1" applyProtection="1">
      <alignment wrapText="1"/>
    </xf>
    <xf numFmtId="0" fontId="17" fillId="0" borderId="137" xfId="4" applyNumberFormat="1" applyFont="1" applyFill="1" applyBorder="1" applyProtection="1"/>
    <xf numFmtId="0" fontId="17" fillId="0" borderId="138" xfId="4" applyNumberFormat="1" applyFont="1" applyFill="1" applyBorder="1" applyAlignment="1" applyProtection="1">
      <alignment wrapText="1"/>
    </xf>
    <xf numFmtId="0" fontId="17" fillId="0" borderId="138" xfId="4" applyNumberFormat="1" applyFont="1" applyFill="1" applyBorder="1" applyProtection="1"/>
    <xf numFmtId="6" fontId="14" fillId="0" borderId="136" xfId="2" applyNumberFormat="1" applyFont="1" applyBorder="1"/>
    <xf numFmtId="6" fontId="14" fillId="0" borderId="110" xfId="4" applyNumberFormat="1" applyFont="1" applyBorder="1"/>
    <xf numFmtId="6" fontId="14" fillId="5" borderId="110" xfId="4" applyNumberFormat="1" applyFont="1" applyFill="1" applyBorder="1"/>
    <xf numFmtId="6" fontId="19" fillId="0" borderId="113" xfId="2" applyNumberFormat="1" applyFont="1" applyBorder="1"/>
    <xf numFmtId="6" fontId="19" fillId="0" borderId="113" xfId="4" applyNumberFormat="1" applyFont="1" applyBorder="1"/>
    <xf numFmtId="6" fontId="19" fillId="5" borderId="113" xfId="4" applyNumberFormat="1" applyFont="1" applyFill="1" applyBorder="1"/>
    <xf numFmtId="0" fontId="17" fillId="0" borderId="219" xfId="4" applyFont="1" applyFill="1" applyBorder="1" applyAlignment="1" applyProtection="1">
      <alignment horizontal="left"/>
    </xf>
    <xf numFmtId="0" fontId="17" fillId="0" borderId="220" xfId="4" applyNumberFormat="1" applyFont="1" applyBorder="1" applyProtection="1"/>
    <xf numFmtId="0" fontId="64" fillId="22" borderId="204" xfId="4" applyFont="1" applyFill="1" applyBorder="1" applyAlignment="1" applyProtection="1">
      <alignment horizontal="left"/>
    </xf>
    <xf numFmtId="0" fontId="17" fillId="15" borderId="134" xfId="4" applyFont="1" applyFill="1" applyBorder="1" applyAlignment="1">
      <alignment horizontal="left"/>
    </xf>
    <xf numFmtId="0" fontId="17" fillId="3" borderId="139" xfId="4" applyFont="1" applyFill="1" applyBorder="1" applyAlignment="1" applyProtection="1">
      <alignment horizontal="left"/>
    </xf>
    <xf numFmtId="6" fontId="19" fillId="0" borderId="159" xfId="4" applyNumberFormat="1" applyFont="1" applyBorder="1"/>
    <xf numFmtId="6" fontId="19" fillId="5" borderId="159" xfId="4" applyNumberFormat="1" applyFont="1" applyFill="1" applyBorder="1"/>
    <xf numFmtId="165" fontId="19" fillId="0" borderId="163" xfId="4" applyNumberFormat="1" applyFont="1" applyBorder="1"/>
    <xf numFmtId="6" fontId="19" fillId="0" borderId="163" xfId="4" applyNumberFormat="1" applyFont="1" applyBorder="1"/>
    <xf numFmtId="0" fontId="14" fillId="0" borderId="221" xfId="4" applyFont="1" applyBorder="1"/>
    <xf numFmtId="0" fontId="14" fillId="0" borderId="175" xfId="4" applyFont="1" applyBorder="1"/>
    <xf numFmtId="0" fontId="26" fillId="0" borderId="0" xfId="4" applyFont="1"/>
    <xf numFmtId="6" fontId="26" fillId="0" borderId="0" xfId="4" applyNumberFormat="1" applyFont="1"/>
    <xf numFmtId="165" fontId="26" fillId="0" borderId="0" xfId="4" applyNumberFormat="1" applyFont="1"/>
    <xf numFmtId="0" fontId="17" fillId="10" borderId="136" xfId="4" applyFont="1" applyFill="1" applyBorder="1"/>
    <xf numFmtId="0" fontId="106" fillId="10" borderId="136" xfId="6" quotePrefix="1" applyNumberFormat="1" applyFont="1" applyFill="1" applyBorder="1" applyAlignment="1">
      <alignment horizontal="center"/>
    </xf>
    <xf numFmtId="0" fontId="107" fillId="10" borderId="136" xfId="6" applyNumberFormat="1" applyFont="1" applyFill="1" applyBorder="1" applyAlignment="1">
      <alignment horizontal="center" wrapText="1"/>
    </xf>
    <xf numFmtId="0" fontId="107" fillId="10" borderId="136" xfId="6" quotePrefix="1" applyNumberFormat="1" applyFont="1" applyFill="1" applyBorder="1" applyAlignment="1">
      <alignment horizontal="center" wrapText="1"/>
    </xf>
    <xf numFmtId="6" fontId="107" fillId="10" borderId="136" xfId="6" quotePrefix="1" applyNumberFormat="1" applyFont="1" applyFill="1" applyBorder="1" applyAlignment="1">
      <alignment horizontal="center" wrapText="1"/>
    </xf>
    <xf numFmtId="165" fontId="107" fillId="10" borderId="136" xfId="6" quotePrefix="1" applyNumberFormat="1" applyFont="1" applyFill="1" applyBorder="1" applyAlignment="1">
      <alignment horizontal="center" wrapText="1"/>
    </xf>
    <xf numFmtId="0" fontId="107" fillId="10" borderId="136" xfId="6" quotePrefix="1" applyNumberFormat="1" applyFont="1" applyFill="1" applyBorder="1" applyAlignment="1">
      <alignment horizontal="center"/>
    </xf>
    <xf numFmtId="0" fontId="94" fillId="0" borderId="0" xfId="4" applyFont="1"/>
    <xf numFmtId="3" fontId="17" fillId="0" borderId="137" xfId="4" applyNumberFormat="1" applyFont="1" applyBorder="1" applyProtection="1"/>
    <xf numFmtId="38" fontId="17" fillId="0" borderId="137" xfId="6" applyNumberFormat="1" applyFont="1" applyBorder="1"/>
    <xf numFmtId="6" fontId="17" fillId="0" borderId="137" xfId="4" applyNumberFormat="1" applyFont="1" applyBorder="1" applyProtection="1"/>
    <xf numFmtId="6" fontId="17" fillId="5" borderId="137" xfId="4" applyNumberFormat="1" applyFont="1" applyFill="1" applyBorder="1" applyProtection="1"/>
    <xf numFmtId="3" fontId="17" fillId="0" borderId="137" xfId="4" applyNumberFormat="1" applyFont="1" applyFill="1" applyBorder="1" applyProtection="1"/>
    <xf numFmtId="6" fontId="17" fillId="0" borderId="137" xfId="4" applyNumberFormat="1" applyFont="1" applyFill="1" applyBorder="1" applyProtection="1"/>
    <xf numFmtId="3" fontId="17" fillId="0" borderId="138" xfId="4" applyNumberFormat="1" applyFont="1" applyBorder="1" applyProtection="1"/>
    <xf numFmtId="3" fontId="17" fillId="0" borderId="138" xfId="4" applyNumberFormat="1" applyFont="1" applyFill="1" applyBorder="1" applyProtection="1"/>
    <xf numFmtId="38" fontId="17" fillId="0" borderId="138" xfId="6" applyNumberFormat="1" applyFont="1" applyBorder="1"/>
    <xf numFmtId="6" fontId="17" fillId="0" borderId="138" xfId="4" applyNumberFormat="1" applyFont="1" applyBorder="1" applyProtection="1"/>
    <xf numFmtId="6" fontId="17" fillId="0" borderId="138" xfId="4" applyNumberFormat="1" applyFont="1" applyFill="1" applyBorder="1" applyProtection="1"/>
    <xf numFmtId="6" fontId="17" fillId="5" borderId="138" xfId="4" applyNumberFormat="1" applyFont="1" applyFill="1" applyBorder="1" applyProtection="1"/>
    <xf numFmtId="3" fontId="17" fillId="7" borderId="137" xfId="4" applyNumberFormat="1" applyFont="1" applyFill="1" applyBorder="1" applyProtection="1"/>
    <xf numFmtId="6" fontId="17" fillId="28" borderId="137" xfId="4" applyNumberFormat="1" applyFont="1" applyFill="1" applyBorder="1" applyProtection="1"/>
    <xf numFmtId="6" fontId="17" fillId="3" borderId="137" xfId="4" applyNumberFormat="1" applyFont="1" applyFill="1" applyBorder="1" applyProtection="1"/>
    <xf numFmtId="6" fontId="17" fillId="3" borderId="138" xfId="4" applyNumberFormat="1" applyFont="1" applyFill="1" applyBorder="1" applyProtection="1"/>
    <xf numFmtId="3" fontId="17" fillId="0" borderId="135" xfId="4" applyNumberFormat="1" applyFont="1" applyFill="1" applyBorder="1" applyProtection="1"/>
    <xf numFmtId="6" fontId="17" fillId="7" borderId="137" xfId="4" applyNumberFormat="1" applyFont="1" applyFill="1" applyBorder="1" applyProtection="1"/>
    <xf numFmtId="0" fontId="64" fillId="22" borderId="222" xfId="4" applyFont="1" applyFill="1" applyBorder="1" applyProtection="1"/>
    <xf numFmtId="38" fontId="64" fillId="0" borderId="206" xfId="6" applyNumberFormat="1" applyFont="1" applyBorder="1" applyAlignment="1">
      <alignment horizontal="right"/>
    </xf>
    <xf numFmtId="6" fontId="64" fillId="0" borderId="206" xfId="6" applyNumberFormat="1" applyFont="1" applyBorder="1" applyAlignment="1">
      <alignment horizontal="right"/>
    </xf>
    <xf numFmtId="3" fontId="17" fillId="15" borderId="60" xfId="4" applyNumberFormat="1" applyFont="1" applyFill="1" applyBorder="1"/>
    <xf numFmtId="6" fontId="17" fillId="15" borderId="60" xfId="4" applyNumberFormat="1" applyFont="1" applyFill="1" applyBorder="1"/>
    <xf numFmtId="3" fontId="17" fillId="0" borderId="135" xfId="4" applyNumberFormat="1" applyFont="1" applyBorder="1" applyProtection="1"/>
    <xf numFmtId="38" fontId="17" fillId="0" borderId="135" xfId="4" applyNumberFormat="1" applyFont="1" applyBorder="1" applyProtection="1"/>
    <xf numFmtId="6" fontId="17" fillId="0" borderId="135" xfId="4" applyNumberFormat="1" applyFont="1" applyBorder="1" applyProtection="1"/>
    <xf numFmtId="6" fontId="17" fillId="5" borderId="180" xfId="4" applyNumberFormat="1" applyFont="1" applyFill="1" applyBorder="1" applyProtection="1"/>
    <xf numFmtId="0" fontId="17" fillId="22" borderId="222" xfId="4" applyFont="1" applyFill="1" applyBorder="1" applyProtection="1"/>
    <xf numFmtId="3" fontId="17" fillId="8" borderId="211" xfId="4" applyNumberFormat="1" applyFont="1" applyFill="1" applyBorder="1"/>
    <xf numFmtId="6" fontId="17" fillId="8" borderId="211" xfId="4" applyNumberFormat="1" applyFont="1" applyFill="1" applyBorder="1"/>
    <xf numFmtId="0" fontId="17" fillId="0" borderId="110" xfId="4" applyFont="1" applyFill="1" applyBorder="1"/>
    <xf numFmtId="3" fontId="17" fillId="0" borderId="110" xfId="4" applyNumberFormat="1" applyFont="1" applyFill="1" applyBorder="1"/>
    <xf numFmtId="38" fontId="17" fillId="0" borderId="110" xfId="4" applyNumberFormat="1" applyFont="1" applyFill="1" applyBorder="1"/>
    <xf numFmtId="6" fontId="17" fillId="0" borderId="110" xfId="4" applyNumberFormat="1" applyFont="1" applyFill="1" applyBorder="1"/>
    <xf numFmtId="0" fontId="17" fillId="0" borderId="213" xfId="4" applyFont="1" applyFill="1" applyBorder="1"/>
    <xf numFmtId="3" fontId="64" fillId="0" borderId="213" xfId="4" applyNumberFormat="1" applyFont="1" applyFill="1" applyBorder="1"/>
    <xf numFmtId="38" fontId="64" fillId="0" borderId="213" xfId="4" applyNumberFormat="1" applyFont="1" applyFill="1" applyBorder="1"/>
    <xf numFmtId="6" fontId="64" fillId="0" borderId="213" xfId="4" applyNumberFormat="1" applyFont="1" applyFill="1" applyBorder="1"/>
    <xf numFmtId="0" fontId="17" fillId="8" borderId="215" xfId="4" applyFont="1" applyFill="1" applyBorder="1"/>
    <xf numFmtId="3" fontId="17" fillId="8" borderId="215" xfId="4" applyNumberFormat="1" applyFont="1" applyFill="1" applyBorder="1"/>
    <xf numFmtId="6" fontId="17" fillId="8" borderId="215" xfId="4" applyNumberFormat="1" applyFont="1" applyFill="1" applyBorder="1"/>
    <xf numFmtId="0" fontId="17" fillId="0" borderId="159" xfId="4" applyFont="1" applyFill="1" applyBorder="1" applyAlignment="1">
      <alignment horizontal="left"/>
    </xf>
    <xf numFmtId="3" fontId="17" fillId="0" borderId="159" xfId="4" applyNumberFormat="1" applyFont="1" applyFill="1" applyBorder="1"/>
    <xf numFmtId="38" fontId="17" fillId="0" borderId="159" xfId="4" applyNumberFormat="1" applyFont="1" applyFill="1" applyBorder="1"/>
    <xf numFmtId="6" fontId="17" fillId="0" borderId="159" xfId="4" applyNumberFormat="1" applyFont="1" applyFill="1" applyBorder="1"/>
    <xf numFmtId="0" fontId="17" fillId="0" borderId="113" xfId="4" applyFont="1" applyFill="1" applyBorder="1" applyAlignment="1">
      <alignment horizontal="left"/>
    </xf>
    <xf numFmtId="3" fontId="17" fillId="0" borderId="113" xfId="4" applyNumberFormat="1" applyFont="1" applyFill="1" applyBorder="1"/>
    <xf numFmtId="3" fontId="17" fillId="0" borderId="137" xfId="4" applyNumberFormat="1" applyFont="1" applyFill="1" applyBorder="1"/>
    <xf numFmtId="38" fontId="17" fillId="0" borderId="113" xfId="4" applyNumberFormat="1" applyFont="1" applyFill="1" applyBorder="1"/>
    <xf numFmtId="6" fontId="17" fillId="0" borderId="113" xfId="4" applyNumberFormat="1" applyFont="1" applyFill="1" applyBorder="1"/>
    <xf numFmtId="0" fontId="17" fillId="0" borderId="160" xfId="4" applyFont="1" applyFill="1" applyBorder="1" applyAlignment="1">
      <alignment horizontal="left"/>
    </xf>
    <xf numFmtId="3" fontId="17" fillId="0" borderId="160" xfId="4" applyNumberFormat="1" applyFont="1" applyFill="1" applyBorder="1"/>
    <xf numFmtId="3" fontId="17" fillId="0" borderId="138" xfId="4" applyNumberFormat="1" applyFont="1" applyFill="1" applyBorder="1"/>
    <xf numFmtId="38" fontId="17" fillId="0" borderId="160" xfId="4" applyNumberFormat="1" applyFont="1" applyFill="1" applyBorder="1"/>
    <xf numFmtId="6" fontId="17" fillId="0" borderId="160" xfId="4" applyNumberFormat="1" applyFont="1" applyFill="1" applyBorder="1"/>
    <xf numFmtId="3" fontId="64" fillId="0" borderId="113" xfId="4" applyNumberFormat="1" applyFont="1" applyFill="1" applyBorder="1"/>
    <xf numFmtId="38" fontId="64" fillId="0" borderId="113" xfId="4" applyNumberFormat="1" applyFont="1" applyFill="1" applyBorder="1"/>
    <xf numFmtId="6" fontId="64" fillId="0" borderId="113" xfId="4" applyNumberFormat="1" applyFont="1" applyFill="1" applyBorder="1"/>
    <xf numFmtId="0" fontId="17" fillId="8" borderId="215" xfId="4" applyFont="1" applyFill="1" applyBorder="1" applyAlignment="1">
      <alignment horizontal="left"/>
    </xf>
    <xf numFmtId="3" fontId="64" fillId="8" borderId="215" xfId="4" applyNumberFormat="1" applyFont="1" applyFill="1" applyBorder="1"/>
    <xf numFmtId="38" fontId="64" fillId="8" borderId="215" xfId="4" applyNumberFormat="1" applyFont="1" applyFill="1" applyBorder="1"/>
    <xf numFmtId="6" fontId="64" fillId="8" borderId="215" xfId="4" applyNumberFormat="1" applyFont="1" applyFill="1" applyBorder="1"/>
    <xf numFmtId="6" fontId="17" fillId="0" borderId="135" xfId="4" applyNumberFormat="1" applyFont="1" applyFill="1" applyBorder="1"/>
    <xf numFmtId="0" fontId="17" fillId="0" borderId="213" xfId="4" applyFont="1" applyFill="1" applyBorder="1" applyAlignment="1">
      <alignment horizontal="left"/>
    </xf>
    <xf numFmtId="0" fontId="17" fillId="15" borderId="215" xfId="4" applyFont="1" applyFill="1" applyBorder="1" applyAlignment="1">
      <alignment horizontal="left"/>
    </xf>
    <xf numFmtId="3" fontId="17" fillId="15" borderId="215" xfId="4" applyNumberFormat="1" applyFont="1" applyFill="1" applyBorder="1"/>
    <xf numFmtId="6" fontId="17" fillId="15" borderId="215" xfId="4" applyNumberFormat="1" applyFont="1" applyFill="1" applyBorder="1"/>
    <xf numFmtId="0" fontId="17" fillId="3" borderId="142" xfId="4" applyFont="1" applyFill="1" applyBorder="1" applyAlignment="1" applyProtection="1">
      <alignment horizontal="left"/>
    </xf>
    <xf numFmtId="3" fontId="17" fillId="3" borderId="137" xfId="4" applyNumberFormat="1" applyFont="1" applyFill="1" applyBorder="1" applyProtection="1"/>
    <xf numFmtId="38" fontId="17" fillId="3" borderId="137" xfId="4" applyNumberFormat="1" applyFont="1" applyFill="1" applyBorder="1" applyProtection="1"/>
    <xf numFmtId="0" fontId="17" fillId="22" borderId="222" xfId="4" applyFont="1" applyFill="1" applyBorder="1" applyAlignment="1" applyProtection="1">
      <alignment horizontal="left"/>
    </xf>
    <xf numFmtId="3" fontId="64" fillId="8" borderId="99" xfId="4" applyNumberFormat="1" applyFont="1" applyFill="1" applyBorder="1"/>
    <xf numFmtId="38" fontId="64" fillId="8" borderId="99" xfId="4" applyNumberFormat="1" applyFont="1" applyFill="1" applyBorder="1"/>
    <xf numFmtId="6" fontId="64" fillId="8" borderId="99" xfId="4" applyNumberFormat="1" applyFont="1" applyFill="1" applyBorder="1"/>
    <xf numFmtId="0" fontId="17" fillId="3" borderId="0" xfId="4" applyNumberFormat="1" applyFont="1" applyFill="1" applyBorder="1" applyProtection="1"/>
    <xf numFmtId="0" fontId="17" fillId="0" borderId="110" xfId="4" applyFont="1" applyFill="1" applyBorder="1" applyAlignment="1">
      <alignment horizontal="left"/>
    </xf>
    <xf numFmtId="3" fontId="17" fillId="0" borderId="136" xfId="4" applyNumberFormat="1" applyFont="1" applyFill="1" applyBorder="1"/>
    <xf numFmtId="6" fontId="17" fillId="0" borderId="136" xfId="4" applyNumberFormat="1" applyFont="1" applyFill="1" applyBorder="1"/>
    <xf numFmtId="0" fontId="19" fillId="0" borderId="136" xfId="4" applyFont="1" applyFill="1" applyBorder="1"/>
    <xf numFmtId="0" fontId="19" fillId="0" borderId="0" xfId="4" applyFont="1" applyFill="1" applyBorder="1"/>
    <xf numFmtId="0" fontId="17" fillId="0" borderId="162" xfId="4" applyFont="1" applyFill="1" applyBorder="1" applyAlignment="1">
      <alignment horizontal="left"/>
    </xf>
    <xf numFmtId="3" fontId="64" fillId="0" borderId="163" xfId="4" applyNumberFormat="1" applyFont="1" applyFill="1" applyBorder="1"/>
    <xf numFmtId="38" fontId="64" fillId="0" borderId="163" xfId="4" applyNumberFormat="1" applyFont="1" applyFill="1" applyBorder="1"/>
    <xf numFmtId="6" fontId="64" fillId="0" borderId="163" xfId="4" applyNumberFormat="1" applyFont="1" applyFill="1" applyBorder="1"/>
    <xf numFmtId="3" fontId="64" fillId="8" borderId="60" xfId="4" applyNumberFormat="1" applyFont="1" applyFill="1" applyBorder="1"/>
    <xf numFmtId="38" fontId="64" fillId="8" borderId="60" xfId="4" applyNumberFormat="1" applyFont="1" applyFill="1" applyBorder="1"/>
    <xf numFmtId="6" fontId="64" fillId="8" borderId="60" xfId="4" applyNumberFormat="1" applyFont="1" applyFill="1" applyBorder="1"/>
    <xf numFmtId="0" fontId="19" fillId="0" borderId="0" xfId="4" applyFont="1" applyFill="1"/>
    <xf numFmtId="0" fontId="64" fillId="0" borderId="159" xfId="4" applyFont="1" applyFill="1" applyBorder="1" applyAlignment="1">
      <alignment horizontal="left"/>
    </xf>
    <xf numFmtId="0" fontId="19" fillId="0" borderId="138" xfId="4" applyFont="1" applyFill="1" applyBorder="1"/>
    <xf numFmtId="3" fontId="17" fillId="3" borderId="137" xfId="6" applyNumberFormat="1" applyFont="1" applyFill="1" applyBorder="1"/>
    <xf numFmtId="38" fontId="17" fillId="3" borderId="137" xfId="6" applyNumberFormat="1" applyFont="1" applyFill="1" applyBorder="1"/>
    <xf numFmtId="6" fontId="17" fillId="3" borderId="137" xfId="6" applyNumberFormat="1" applyFont="1" applyFill="1" applyBorder="1"/>
    <xf numFmtId="6" fontId="17" fillId="2" borderId="137" xfId="6" applyNumberFormat="1" applyFont="1" applyFill="1" applyBorder="1"/>
    <xf numFmtId="0" fontId="17" fillId="0" borderId="0" xfId="4" applyNumberFormat="1" applyFont="1" applyFill="1" applyBorder="1" applyProtection="1"/>
    <xf numFmtId="3" fontId="17" fillId="15" borderId="99" xfId="4" applyNumberFormat="1" applyFont="1" applyFill="1" applyBorder="1"/>
    <xf numFmtId="38" fontId="17" fillId="15" borderId="99" xfId="4" applyNumberFormat="1" applyFont="1" applyFill="1" applyBorder="1"/>
    <xf numFmtId="6" fontId="17" fillId="15" borderId="99" xfId="4" applyNumberFormat="1" applyFont="1" applyFill="1" applyBorder="1"/>
    <xf numFmtId="0" fontId="17" fillId="0" borderId="216" xfId="4" applyFont="1" applyFill="1" applyBorder="1" applyProtection="1"/>
    <xf numFmtId="38" fontId="17" fillId="0" borderId="135" xfId="4" applyNumberFormat="1" applyFont="1" applyFill="1" applyBorder="1" applyProtection="1"/>
    <xf numFmtId="6" fontId="17" fillId="0" borderId="135" xfId="4" applyNumberFormat="1" applyFont="1" applyFill="1" applyBorder="1" applyProtection="1"/>
    <xf numFmtId="6" fontId="17" fillId="5" borderId="135" xfId="4" applyNumberFormat="1" applyFont="1" applyFill="1" applyBorder="1" applyProtection="1"/>
    <xf numFmtId="38" fontId="17" fillId="0" borderId="137" xfId="4" applyNumberFormat="1" applyFont="1" applyFill="1" applyBorder="1" applyProtection="1"/>
    <xf numFmtId="38" fontId="17" fillId="0" borderId="138" xfId="4" applyNumberFormat="1" applyFont="1" applyFill="1" applyBorder="1" applyProtection="1"/>
    <xf numFmtId="0" fontId="17" fillId="0" borderId="223" xfId="4" applyFont="1" applyFill="1" applyBorder="1" applyAlignment="1" applyProtection="1">
      <alignment horizontal="left"/>
    </xf>
    <xf numFmtId="3" fontId="17" fillId="0" borderId="220" xfId="4" applyNumberFormat="1" applyFont="1" applyBorder="1" applyProtection="1"/>
    <xf numFmtId="38" fontId="17" fillId="0" borderId="220" xfId="4" applyNumberFormat="1" applyFont="1" applyBorder="1" applyProtection="1"/>
    <xf numFmtId="6" fontId="17" fillId="0" borderId="220" xfId="4" applyNumberFormat="1" applyFont="1" applyBorder="1" applyProtection="1"/>
    <xf numFmtId="6" fontId="17" fillId="5" borderId="220" xfId="4" applyNumberFormat="1" applyFont="1" applyFill="1" applyBorder="1" applyProtection="1"/>
    <xf numFmtId="0" fontId="64" fillId="22" borderId="222" xfId="4" applyFont="1" applyFill="1" applyBorder="1" applyAlignment="1" applyProtection="1">
      <alignment horizontal="left"/>
    </xf>
    <xf numFmtId="0" fontId="17" fillId="3" borderId="207" xfId="4" applyFont="1" applyFill="1" applyBorder="1" applyAlignment="1" applyProtection="1">
      <alignment horizontal="left"/>
    </xf>
    <xf numFmtId="3" fontId="17" fillId="3" borderId="138" xfId="4" applyNumberFormat="1" applyFont="1" applyFill="1" applyBorder="1" applyProtection="1"/>
    <xf numFmtId="38" fontId="17" fillId="3" borderId="138" xfId="4" applyNumberFormat="1" applyFont="1" applyFill="1" applyBorder="1" applyProtection="1"/>
    <xf numFmtId="0" fontId="25" fillId="0" borderId="0" xfId="4" applyFont="1"/>
    <xf numFmtId="6" fontId="14" fillId="0" borderId="0" xfId="4" applyNumberFormat="1" applyFont="1"/>
    <xf numFmtId="165" fontId="14" fillId="0" borderId="0" xfId="4" applyNumberFormat="1" applyFont="1"/>
    <xf numFmtId="169" fontId="17" fillId="0" borderId="137" xfId="4" applyNumberFormat="1" applyFont="1" applyBorder="1" applyProtection="1"/>
    <xf numFmtId="172" fontId="17" fillId="0" borderId="137" xfId="6" applyNumberFormat="1" applyFont="1" applyBorder="1"/>
    <xf numFmtId="169" fontId="17" fillId="0" borderId="138" xfId="4" applyNumberFormat="1" applyFont="1" applyBorder="1" applyProtection="1"/>
    <xf numFmtId="172" fontId="17" fillId="0" borderId="138" xfId="6" applyNumberFormat="1" applyFont="1" applyBorder="1"/>
    <xf numFmtId="169" fontId="17" fillId="0" borderId="137" xfId="4" applyNumberFormat="1" applyFont="1" applyFill="1" applyBorder="1" applyProtection="1"/>
    <xf numFmtId="169" fontId="17" fillId="0" borderId="138" xfId="4" applyNumberFormat="1" applyFont="1" applyFill="1" applyBorder="1" applyProtection="1"/>
    <xf numFmtId="169" fontId="17" fillId="0" borderId="135" xfId="4" applyNumberFormat="1" applyFont="1" applyFill="1" applyBorder="1" applyProtection="1"/>
    <xf numFmtId="0" fontId="17" fillId="3" borderId="137" xfId="4" applyFont="1" applyFill="1" applyBorder="1" applyAlignment="1" applyProtection="1">
      <alignment horizontal="left"/>
    </xf>
    <xf numFmtId="0" fontId="17" fillId="3" borderId="138" xfId="4" applyFont="1" applyFill="1" applyBorder="1" applyAlignment="1" applyProtection="1">
      <alignment horizontal="left"/>
    </xf>
    <xf numFmtId="0" fontId="108" fillId="0" borderId="0" xfId="0" applyFont="1" applyAlignment="1">
      <alignment horizontal="right"/>
    </xf>
    <xf numFmtId="5" fontId="109" fillId="0" borderId="0" xfId="0" applyNumberFormat="1" applyFont="1" applyBorder="1"/>
    <xf numFmtId="0" fontId="109" fillId="0" borderId="0" xfId="0" applyFont="1"/>
    <xf numFmtId="5" fontId="109" fillId="0" borderId="0" xfId="0" applyNumberFormat="1" applyFont="1"/>
    <xf numFmtId="17" fontId="108" fillId="0" borderId="0" xfId="0" quotePrefix="1" applyNumberFormat="1" applyFont="1" applyAlignment="1">
      <alignment horizontal="right"/>
    </xf>
    <xf numFmtId="6" fontId="109" fillId="0" borderId="0" xfId="0" applyNumberFormat="1" applyFont="1"/>
    <xf numFmtId="0" fontId="110" fillId="0" borderId="0" xfId="0" applyFont="1" applyAlignment="1">
      <alignment wrapText="1"/>
    </xf>
    <xf numFmtId="17" fontId="109" fillId="0" borderId="0" xfId="0" quotePrefix="1" applyNumberFormat="1" applyFont="1" applyAlignment="1">
      <alignment horizontal="right"/>
    </xf>
    <xf numFmtId="6" fontId="109" fillId="0" borderId="60" xfId="0" applyNumberFormat="1" applyFont="1" applyBorder="1"/>
    <xf numFmtId="0" fontId="109" fillId="0" borderId="0" xfId="0" applyFont="1" applyAlignment="1">
      <alignment horizontal="right"/>
    </xf>
    <xf numFmtId="164" fontId="109" fillId="0" borderId="0" xfId="0" applyNumberFormat="1" applyFont="1"/>
    <xf numFmtId="0" fontId="109" fillId="0" borderId="0" xfId="0" applyFont="1" applyFill="1" applyBorder="1" applyAlignment="1">
      <alignment horizontal="center" vertical="center"/>
    </xf>
    <xf numFmtId="0" fontId="109" fillId="0" borderId="0" xfId="0" applyFont="1" applyFill="1" applyBorder="1"/>
    <xf numFmtId="165" fontId="109" fillId="0" borderId="0" xfId="0" applyNumberFormat="1" applyFont="1"/>
    <xf numFmtId="165" fontId="108" fillId="2" borderId="161" xfId="0" applyNumberFormat="1" applyFont="1" applyFill="1" applyBorder="1"/>
    <xf numFmtId="165" fontId="108" fillId="0" borderId="161" xfId="0" applyNumberFormat="1" applyFont="1" applyBorder="1"/>
    <xf numFmtId="165" fontId="109" fillId="0" borderId="0" xfId="0" applyNumberFormat="1" applyFont="1" applyFill="1" applyBorder="1"/>
    <xf numFmtId="0" fontId="112" fillId="0" borderId="0" xfId="0" applyFont="1" applyAlignment="1">
      <alignment horizontal="center"/>
    </xf>
    <xf numFmtId="0" fontId="109" fillId="0" borderId="0" xfId="0" applyFont="1" applyFill="1" applyBorder="1" applyAlignment="1">
      <alignment horizontal="center"/>
    </xf>
    <xf numFmtId="5" fontId="109" fillId="0" borderId="172" xfId="0" applyNumberFormat="1" applyFont="1" applyFill="1" applyBorder="1"/>
    <xf numFmtId="6" fontId="109" fillId="0" borderId="172" xfId="0" applyNumberFormat="1" applyFont="1" applyFill="1" applyBorder="1"/>
    <xf numFmtId="0" fontId="109" fillId="0" borderId="172" xfId="0" applyFont="1" applyBorder="1"/>
    <xf numFmtId="0" fontId="109" fillId="0" borderId="172" xfId="0" applyFont="1" applyFill="1" applyBorder="1"/>
    <xf numFmtId="0" fontId="109" fillId="0" borderId="0" xfId="0" applyFont="1" applyBorder="1"/>
    <xf numFmtId="6" fontId="109" fillId="0" borderId="0" xfId="0" applyNumberFormat="1" applyFont="1" applyBorder="1"/>
    <xf numFmtId="6" fontId="109" fillId="0" borderId="0" xfId="1" applyNumberFormat="1" applyFont="1" applyBorder="1"/>
    <xf numFmtId="0" fontId="109" fillId="0" borderId="60" xfId="0" applyFont="1" applyBorder="1"/>
    <xf numFmtId="6" fontId="111" fillId="0" borderId="138" xfId="0" applyNumberFormat="1" applyFont="1" applyBorder="1"/>
    <xf numFmtId="0" fontId="109" fillId="0" borderId="0" xfId="0" applyFont="1" applyAlignment="1">
      <alignment horizontal="left"/>
    </xf>
    <xf numFmtId="6" fontId="109" fillId="0" borderId="0" xfId="0" applyNumberFormat="1" applyFont="1" applyAlignment="1">
      <alignment horizontal="left"/>
    </xf>
    <xf numFmtId="6" fontId="109" fillId="0" borderId="60" xfId="0" applyNumberFormat="1" applyFont="1" applyBorder="1" applyAlignment="1">
      <alignment horizontal="left"/>
    </xf>
    <xf numFmtId="0" fontId="113" fillId="0" borderId="0" xfId="0" applyFont="1" applyBorder="1"/>
    <xf numFmtId="6" fontId="113" fillId="0" borderId="0" xfId="0" applyNumberFormat="1" applyFont="1" applyBorder="1"/>
    <xf numFmtId="0" fontId="114" fillId="0" borderId="0" xfId="0" applyFont="1" applyBorder="1" applyAlignment="1">
      <alignment horizontal="right"/>
    </xf>
    <xf numFmtId="0" fontId="114" fillId="0" borderId="0" xfId="0" applyFont="1" applyBorder="1"/>
    <xf numFmtId="6" fontId="115" fillId="0" borderId="0" xfId="0" applyNumberFormat="1" applyFont="1" applyBorder="1"/>
    <xf numFmtId="6" fontId="114" fillId="0" borderId="0" xfId="0" applyNumberFormat="1" applyFont="1" applyBorder="1"/>
    <xf numFmtId="4" fontId="113" fillId="0" borderId="0" xfId="0" applyNumberFormat="1" applyFont="1" applyBorder="1" applyAlignment="1">
      <alignment horizontal="center"/>
    </xf>
    <xf numFmtId="4" fontId="113" fillId="0" borderId="0" xfId="0" applyNumberFormat="1" applyFont="1" applyBorder="1" applyAlignment="1">
      <alignment horizontal="center" vertical="center"/>
    </xf>
    <xf numFmtId="0" fontId="113" fillId="0" borderId="0" xfId="0" applyFont="1" applyBorder="1" applyAlignment="1">
      <alignment horizontal="center" vertical="center"/>
    </xf>
    <xf numFmtId="4" fontId="116" fillId="0" borderId="0" xfId="0" applyNumberFormat="1" applyFont="1" applyBorder="1"/>
    <xf numFmtId="0" fontId="116" fillId="0" borderId="0" xfId="0" applyFont="1" applyBorder="1"/>
    <xf numFmtId="0" fontId="116" fillId="0" borderId="0" xfId="0" applyFont="1" applyBorder="1" applyAlignment="1">
      <alignment horizontal="center"/>
    </xf>
    <xf numFmtId="4" fontId="113" fillId="0" borderId="0" xfId="0" applyNumberFormat="1" applyFont="1" applyBorder="1"/>
    <xf numFmtId="4" fontId="113" fillId="0" borderId="0" xfId="0" applyNumberFormat="1" applyFont="1" applyBorder="1" applyAlignment="1">
      <alignment horizontal="center" wrapText="1"/>
    </xf>
    <xf numFmtId="6" fontId="116" fillId="0" borderId="0" xfId="0" applyNumberFormat="1" applyFont="1" applyBorder="1"/>
    <xf numFmtId="0" fontId="116" fillId="0" borderId="99" xfId="0" applyFont="1" applyBorder="1"/>
    <xf numFmtId="0" fontId="114" fillId="0" borderId="0" xfId="0" applyFont="1" applyBorder="1" applyAlignment="1">
      <alignment horizontal="center"/>
    </xf>
    <xf numFmtId="0" fontId="113" fillId="3" borderId="0" xfId="0" applyFont="1" applyFill="1" applyBorder="1"/>
    <xf numFmtId="0" fontId="113" fillId="0" borderId="0" xfId="0" applyFont="1"/>
    <xf numFmtId="0" fontId="119" fillId="0" borderId="0" xfId="0" quotePrefix="1" applyFont="1" applyFill="1" applyBorder="1" applyAlignment="1">
      <alignment horizontal="left" wrapText="1"/>
    </xf>
    <xf numFmtId="6" fontId="115" fillId="0" borderId="0" xfId="0" applyNumberFormat="1" applyFont="1" applyBorder="1" applyAlignment="1">
      <alignment horizontal="right"/>
    </xf>
    <xf numFmtId="38" fontId="115" fillId="0" borderId="0" xfId="0" applyNumberFormat="1" applyFont="1" applyBorder="1" applyAlignment="1">
      <alignment horizontal="right"/>
    </xf>
    <xf numFmtId="6" fontId="113" fillId="0" borderId="0" xfId="0" applyNumberFormat="1" applyFont="1" applyBorder="1" applyAlignment="1">
      <alignment horizontal="right"/>
    </xf>
    <xf numFmtId="6" fontId="113" fillId="0" borderId="0" xfId="0" applyNumberFormat="1" applyFont="1" applyBorder="1" applyAlignment="1"/>
    <xf numFmtId="6" fontId="116" fillId="0" borderId="0" xfId="0" applyNumberFormat="1" applyFont="1" applyFill="1" applyBorder="1" applyAlignment="1">
      <alignment horizontal="center"/>
    </xf>
    <xf numFmtId="6" fontId="113" fillId="0" borderId="0" xfId="0" applyNumberFormat="1" applyFont="1" applyFill="1" applyBorder="1" applyAlignment="1">
      <alignment horizontal="center"/>
    </xf>
    <xf numFmtId="0" fontId="115" fillId="0" borderId="0" xfId="0" applyFont="1" applyFill="1" applyBorder="1" applyAlignment="1">
      <alignment horizontal="left"/>
    </xf>
    <xf numFmtId="0" fontId="115" fillId="0" borderId="0" xfId="0" applyFont="1" applyBorder="1"/>
    <xf numFmtId="6" fontId="115" fillId="0" borderId="0" xfId="0" applyNumberFormat="1" applyFont="1" applyFill="1" applyBorder="1" applyAlignment="1">
      <alignment horizontal="right"/>
    </xf>
    <xf numFmtId="38" fontId="115" fillId="0" borderId="0" xfId="0" applyNumberFormat="1" applyFont="1" applyFill="1" applyBorder="1" applyAlignment="1">
      <alignment horizontal="right"/>
    </xf>
    <xf numFmtId="0" fontId="113" fillId="0" borderId="0" xfId="0" applyFont="1" applyFill="1" applyBorder="1"/>
    <xf numFmtId="0" fontId="109" fillId="0" borderId="0" xfId="0" applyFont="1" applyAlignment="1">
      <alignment horizontal="center"/>
    </xf>
    <xf numFmtId="0" fontId="109" fillId="3" borderId="0" xfId="0" applyFont="1" applyFill="1" applyBorder="1" applyAlignment="1">
      <alignment horizontal="center"/>
    </xf>
    <xf numFmtId="0" fontId="109" fillId="0" borderId="0" xfId="0" applyFont="1" applyBorder="1" applyAlignment="1">
      <alignment horizontal="center"/>
    </xf>
    <xf numFmtId="0" fontId="109" fillId="3" borderId="0" xfId="0" quotePrefix="1" applyFont="1" applyFill="1" applyBorder="1" applyAlignment="1">
      <alignment horizontal="center"/>
    </xf>
    <xf numFmtId="0" fontId="109" fillId="0" borderId="0" xfId="0" quotePrefix="1" applyFont="1" applyAlignment="1">
      <alignment horizontal="center"/>
    </xf>
    <xf numFmtId="164" fontId="109" fillId="0" borderId="0" xfId="8" applyNumberFormat="1" applyFont="1" applyAlignment="1"/>
    <xf numFmtId="10" fontId="109" fillId="0" borderId="0" xfId="7" applyNumberFormat="1" applyFont="1" applyAlignment="1"/>
    <xf numFmtId="5" fontId="109" fillId="0" borderId="0" xfId="9" applyNumberFormat="1" applyFont="1" applyAlignment="1">
      <alignment horizontal="right"/>
    </xf>
    <xf numFmtId="0" fontId="109" fillId="0" borderId="0" xfId="0" applyFont="1" applyAlignment="1"/>
    <xf numFmtId="10" fontId="109" fillId="0" borderId="60" xfId="0" applyNumberFormat="1" applyFont="1" applyBorder="1" applyAlignment="1">
      <alignment horizontal="right"/>
    </xf>
    <xf numFmtId="165" fontId="109" fillId="0" borderId="0" xfId="0" applyNumberFormat="1" applyFont="1" applyAlignment="1">
      <alignment horizontal="right"/>
    </xf>
    <xf numFmtId="167" fontId="109" fillId="0" borderId="60" xfId="0" applyNumberFormat="1" applyFont="1" applyBorder="1" applyAlignment="1">
      <alignment horizontal="right"/>
    </xf>
    <xf numFmtId="0" fontId="109" fillId="0" borderId="0" xfId="0" quotePrefix="1" applyFont="1" applyAlignment="1"/>
    <xf numFmtId="164" fontId="109" fillId="0" borderId="60" xfId="0" applyNumberFormat="1" applyFont="1" applyBorder="1" applyAlignment="1">
      <alignment horizontal="right"/>
    </xf>
    <xf numFmtId="6" fontId="109" fillId="0" borderId="60" xfId="0" applyNumberFormat="1" applyFont="1" applyBorder="1" applyAlignment="1">
      <alignment horizontal="right"/>
    </xf>
    <xf numFmtId="6" fontId="109" fillId="0" borderId="0" xfId="0" applyNumberFormat="1" applyFont="1" applyAlignment="1">
      <alignment horizontal="right"/>
    </xf>
    <xf numFmtId="10" fontId="109" fillId="0" borderId="0" xfId="0" applyNumberFormat="1" applyFont="1"/>
    <xf numFmtId="0" fontId="109" fillId="0" borderId="0" xfId="0" applyFont="1" applyFill="1"/>
    <xf numFmtId="10" fontId="109" fillId="0" borderId="137" xfId="0" applyNumberFormat="1" applyFont="1" applyFill="1" applyBorder="1"/>
    <xf numFmtId="9" fontId="109" fillId="0" borderId="0" xfId="0" applyNumberFormat="1" applyFont="1"/>
    <xf numFmtId="0" fontId="120" fillId="0" borderId="0" xfId="0" applyFont="1"/>
    <xf numFmtId="10" fontId="109" fillId="0" borderId="0" xfId="3" applyNumberFormat="1" applyFont="1"/>
    <xf numFmtId="10" fontId="120" fillId="0" borderId="0" xfId="0" applyNumberFormat="1" applyFont="1"/>
    <xf numFmtId="170" fontId="109" fillId="0" borderId="0" xfId="0" applyNumberFormat="1" applyFont="1" applyAlignment="1">
      <alignment horizontal="center"/>
    </xf>
    <xf numFmtId="5" fontId="120" fillId="0" borderId="0" xfId="0" applyNumberFormat="1" applyFont="1"/>
    <xf numFmtId="2" fontId="109" fillId="0" borderId="0" xfId="0" applyNumberFormat="1" applyFont="1"/>
    <xf numFmtId="3" fontId="109" fillId="0" borderId="0" xfId="0" applyNumberFormat="1" applyFont="1"/>
    <xf numFmtId="3" fontId="109" fillId="0" borderId="0" xfId="0" applyNumberFormat="1" applyFont="1" applyFill="1" applyBorder="1" applyAlignment="1">
      <alignment horizontal="center"/>
    </xf>
    <xf numFmtId="3" fontId="109" fillId="0" borderId="0" xfId="0" applyNumberFormat="1" applyFont="1" applyFill="1" applyBorder="1"/>
    <xf numFmtId="10" fontId="109" fillId="0" borderId="0" xfId="0" applyNumberFormat="1" applyFont="1" applyFill="1" applyBorder="1"/>
    <xf numFmtId="10" fontId="109" fillId="0" borderId="0" xfId="3" applyNumberFormat="1" applyFont="1" applyFill="1" applyBorder="1"/>
    <xf numFmtId="170" fontId="109" fillId="0" borderId="0" xfId="3" applyNumberFormat="1" applyFont="1" applyFill="1" applyBorder="1"/>
    <xf numFmtId="170" fontId="109" fillId="0" borderId="0" xfId="0" applyNumberFormat="1" applyFont="1" applyBorder="1"/>
    <xf numFmtId="171" fontId="109" fillId="0" borderId="0" xfId="0" applyNumberFormat="1" applyFont="1" applyBorder="1"/>
    <xf numFmtId="165" fontId="109" fillId="0" borderId="0" xfId="0" applyNumberFormat="1" applyFont="1" applyBorder="1"/>
    <xf numFmtId="0" fontId="109" fillId="0" borderId="0" xfId="4" quotePrefix="1" applyFont="1" applyFill="1" applyAlignment="1">
      <alignment horizontal="left" wrapText="1"/>
    </xf>
    <xf numFmtId="6" fontId="109" fillId="0" borderId="0" xfId="4" quotePrefix="1" applyNumberFormat="1" applyFont="1" applyFill="1" applyAlignment="1">
      <alignment horizontal="left" wrapText="1"/>
    </xf>
    <xf numFmtId="0" fontId="109" fillId="0" borderId="0" xfId="4" applyFont="1" applyFill="1"/>
    <xf numFmtId="0" fontId="109" fillId="0" borderId="0" xfId="4" applyFont="1"/>
    <xf numFmtId="0" fontId="109" fillId="0" borderId="0" xfId="4" applyFont="1" applyAlignment="1">
      <alignment horizontal="right"/>
    </xf>
    <xf numFmtId="164" fontId="109" fillId="0" borderId="0" xfId="1" applyNumberFormat="1" applyFont="1"/>
    <xf numFmtId="6" fontId="109" fillId="0" borderId="0" xfId="4" applyNumberFormat="1" applyFont="1"/>
    <xf numFmtId="164" fontId="109" fillId="0" borderId="0" xfId="1" applyNumberFormat="1" applyFont="1" applyBorder="1"/>
    <xf numFmtId="164" fontId="109" fillId="0" borderId="60" xfId="1" applyNumberFormat="1" applyFont="1" applyBorder="1"/>
    <xf numFmtId="164" fontId="109" fillId="0" borderId="0" xfId="4" applyNumberFormat="1" applyFont="1"/>
    <xf numFmtId="165" fontId="109" fillId="0" borderId="0" xfId="4" applyNumberFormat="1" applyFont="1"/>
    <xf numFmtId="6" fontId="108" fillId="0" borderId="0" xfId="0" applyNumberFormat="1" applyFont="1" applyAlignment="1">
      <alignment horizontal="right"/>
    </xf>
    <xf numFmtId="5" fontId="109" fillId="0" borderId="60" xfId="0" applyNumberFormat="1" applyFont="1" applyBorder="1"/>
    <xf numFmtId="0" fontId="109" fillId="0" borderId="0" xfId="0" applyFont="1" applyAlignment="1">
      <alignment vertical="center"/>
    </xf>
    <xf numFmtId="0" fontId="108" fillId="0" borderId="0" xfId="0" applyFont="1" applyAlignment="1">
      <alignment horizontal="right" vertical="center"/>
    </xf>
    <xf numFmtId="5" fontId="109" fillId="0" borderId="0" xfId="0" applyNumberFormat="1" applyFont="1" applyAlignment="1">
      <alignment vertical="center"/>
    </xf>
    <xf numFmtId="5" fontId="121" fillId="3" borderId="0" xfId="0" applyNumberFormat="1" applyFont="1" applyFill="1" applyBorder="1" applyAlignment="1" applyProtection="1"/>
    <xf numFmtId="0" fontId="114" fillId="3" borderId="0" xfId="0" applyFont="1" applyFill="1" applyBorder="1" applyAlignment="1">
      <alignment horizontal="left" wrapText="1"/>
    </xf>
    <xf numFmtId="6" fontId="114" fillId="3" borderId="0" xfId="0" applyNumberFormat="1" applyFont="1" applyFill="1" applyBorder="1" applyAlignment="1">
      <alignment horizontal="center" wrapText="1"/>
    </xf>
    <xf numFmtId="0" fontId="110" fillId="0" borderId="0" xfId="0" applyFont="1" applyAlignment="1">
      <alignment horizontal="left" wrapText="1"/>
    </xf>
    <xf numFmtId="0" fontId="5" fillId="0" borderId="23" xfId="0" applyFont="1" applyFill="1" applyBorder="1" applyAlignment="1">
      <alignment horizontal="left" vertical="top" wrapText="1"/>
    </xf>
    <xf numFmtId="0" fontId="5" fillId="0" borderId="24" xfId="0" applyFont="1" applyFill="1" applyBorder="1" applyAlignment="1">
      <alignment horizontal="left" vertical="top" wrapText="1"/>
    </xf>
    <xf numFmtId="0" fontId="6" fillId="0" borderId="54" xfId="0" quotePrefix="1" applyFont="1" applyFill="1" applyBorder="1" applyAlignment="1">
      <alignment horizontal="left" vertical="center" wrapText="1"/>
    </xf>
    <xf numFmtId="0" fontId="6" fillId="0" borderId="42" xfId="0" applyFont="1" applyFill="1" applyBorder="1" applyAlignment="1">
      <alignment horizontal="left" vertical="center" wrapText="1"/>
    </xf>
    <xf numFmtId="0" fontId="6" fillId="0" borderId="0" xfId="0" applyFont="1" applyFill="1" applyBorder="1" applyAlignment="1">
      <alignment horizontal="left"/>
    </xf>
    <xf numFmtId="5" fontId="6" fillId="0" borderId="85" xfId="0" applyNumberFormat="1" applyFont="1" applyFill="1" applyBorder="1" applyAlignment="1" applyProtection="1">
      <alignment horizontal="center"/>
    </xf>
    <xf numFmtId="5" fontId="6" fillId="0" borderId="86" xfId="0" applyNumberFormat="1" applyFont="1" applyFill="1" applyBorder="1" applyAlignment="1" applyProtection="1">
      <alignment horizontal="center"/>
    </xf>
    <xf numFmtId="0" fontId="15" fillId="2" borderId="121" xfId="0" applyFont="1" applyFill="1" applyBorder="1" applyAlignment="1">
      <alignment horizontal="left" vertical="center" wrapText="1"/>
    </xf>
    <xf numFmtId="0" fontId="0" fillId="0" borderId="122" xfId="0" applyBorder="1" applyAlignment="1">
      <alignment horizontal="left" vertical="center" wrapText="1"/>
    </xf>
    <xf numFmtId="0" fontId="15" fillId="3" borderId="126" xfId="0" applyFont="1" applyFill="1" applyBorder="1" applyAlignment="1">
      <alignment horizontal="left" vertical="center" wrapText="1"/>
    </xf>
    <xf numFmtId="0" fontId="15" fillId="3" borderId="127" xfId="0" applyFont="1" applyFill="1" applyBorder="1" applyAlignment="1">
      <alignment horizontal="left" vertical="center" wrapText="1"/>
    </xf>
    <xf numFmtId="0" fontId="15" fillId="3" borderId="28" xfId="0" applyFont="1" applyFill="1" applyBorder="1" applyAlignment="1">
      <alignment horizontal="left" vertical="center" wrapText="1"/>
    </xf>
    <xf numFmtId="0" fontId="109" fillId="0" borderId="0" xfId="0" applyFont="1" applyAlignment="1">
      <alignment horizontal="left" wrapText="1"/>
    </xf>
    <xf numFmtId="0" fontId="1" fillId="0" borderId="0" xfId="0" applyFont="1" applyBorder="1" applyAlignment="1">
      <alignment horizontal="center" wrapText="1"/>
    </xf>
    <xf numFmtId="0" fontId="2" fillId="0" borderId="0" xfId="0" applyFont="1" applyBorder="1" applyAlignment="1">
      <alignment horizontal="center"/>
    </xf>
    <xf numFmtId="0" fontId="3" fillId="0" borderId="0" xfId="0" applyFont="1" applyBorder="1" applyAlignment="1">
      <alignment horizontal="center"/>
    </xf>
    <xf numFmtId="0" fontId="4" fillId="0" borderId="1" xfId="0" quotePrefix="1" applyFont="1" applyBorder="1" applyAlignment="1">
      <alignment horizontal="center" wrapText="1"/>
    </xf>
    <xf numFmtId="0" fontId="4" fillId="0" borderId="1" xfId="0" applyFont="1" applyBorder="1" applyAlignment="1">
      <alignment horizontal="center" wrapText="1"/>
    </xf>
    <xf numFmtId="0" fontId="7" fillId="2" borderId="5"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6" fillId="2" borderId="5" xfId="0" quotePrefix="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8" xfId="0" applyFont="1" applyFill="1" applyBorder="1" applyAlignment="1">
      <alignment horizontal="center" vertical="center"/>
    </xf>
    <xf numFmtId="0" fontId="109" fillId="0" borderId="84" xfId="0" applyFont="1" applyBorder="1" applyAlignment="1">
      <alignment horizontal="left" vertical="top" wrapText="1"/>
    </xf>
    <xf numFmtId="0" fontId="109" fillId="0" borderId="0" xfId="0" applyFont="1" applyBorder="1" applyAlignment="1">
      <alignment horizontal="left" vertical="top" wrapText="1"/>
    </xf>
    <xf numFmtId="0" fontId="109" fillId="0" borderId="0" xfId="0" applyFont="1" applyAlignment="1">
      <alignment horizontal="center" wrapText="1"/>
    </xf>
    <xf numFmtId="0" fontId="109" fillId="0" borderId="0" xfId="0" applyFont="1" applyAlignment="1">
      <alignment horizontal="center" vertical="top" wrapText="1"/>
    </xf>
    <xf numFmtId="0" fontId="21" fillId="2" borderId="135" xfId="4" applyFont="1" applyFill="1" applyBorder="1" applyAlignment="1">
      <alignment horizontal="center" vertical="center" wrapText="1"/>
    </xf>
    <xf numFmtId="0" fontId="21" fillId="2" borderId="137" xfId="4" applyFont="1" applyFill="1" applyBorder="1" applyAlignment="1">
      <alignment horizontal="center" vertical="center" wrapText="1"/>
    </xf>
    <xf numFmtId="0" fontId="21" fillId="2" borderId="138" xfId="4" applyFont="1" applyFill="1" applyBorder="1" applyAlignment="1">
      <alignment horizontal="center" vertical="center" wrapText="1"/>
    </xf>
    <xf numFmtId="0" fontId="21" fillId="2" borderId="136" xfId="4" applyFont="1" applyFill="1" applyBorder="1" applyAlignment="1">
      <alignment horizontal="center" vertical="center" wrapText="1"/>
    </xf>
    <xf numFmtId="0" fontId="21" fillId="2" borderId="136" xfId="0" applyFont="1" applyFill="1" applyBorder="1" applyAlignment="1">
      <alignment horizontal="center" vertical="center" wrapText="1"/>
    </xf>
    <xf numFmtId="0" fontId="21" fillId="9" borderId="135" xfId="0" applyFont="1" applyFill="1" applyBorder="1" applyAlignment="1">
      <alignment horizontal="center" vertical="center" wrapText="1"/>
    </xf>
    <xf numFmtId="0" fontId="21" fillId="9" borderId="137" xfId="0" applyFont="1" applyFill="1" applyBorder="1" applyAlignment="1">
      <alignment horizontal="center" vertical="center" wrapText="1"/>
    </xf>
    <xf numFmtId="0" fontId="21" fillId="9" borderId="138" xfId="0" applyFont="1" applyFill="1" applyBorder="1" applyAlignment="1">
      <alignment horizontal="center" vertical="center" wrapText="1"/>
    </xf>
    <xf numFmtId="0" fontId="21" fillId="7" borderId="136" xfId="0" applyFont="1" applyFill="1" applyBorder="1" applyAlignment="1">
      <alignment horizontal="center" vertical="center" wrapText="1"/>
    </xf>
    <xf numFmtId="0" fontId="21" fillId="8" borderId="135" xfId="4" applyFont="1" applyFill="1" applyBorder="1" applyAlignment="1">
      <alignment horizontal="center" vertical="center" wrapText="1"/>
    </xf>
    <xf numFmtId="0" fontId="21" fillId="8" borderId="137" xfId="4" applyFont="1" applyFill="1" applyBorder="1" applyAlignment="1">
      <alignment horizontal="center" vertical="center" wrapText="1"/>
    </xf>
    <xf numFmtId="0" fontId="21" fillId="8" borderId="138" xfId="4" applyFont="1" applyFill="1" applyBorder="1" applyAlignment="1">
      <alignment horizontal="center" vertical="center" wrapText="1"/>
    </xf>
    <xf numFmtId="0" fontId="20" fillId="4" borderId="134" xfId="0" applyFont="1" applyFill="1" applyBorder="1" applyAlignment="1">
      <alignment horizontal="center"/>
    </xf>
    <xf numFmtId="0" fontId="20" fillId="4" borderId="99" xfId="0" applyFont="1" applyFill="1" applyBorder="1" applyAlignment="1">
      <alignment horizontal="center"/>
    </xf>
    <xf numFmtId="0" fontId="20" fillId="4" borderId="110" xfId="0" applyFont="1" applyFill="1" applyBorder="1" applyAlignment="1">
      <alignment horizontal="center"/>
    </xf>
    <xf numFmtId="0" fontId="20" fillId="5" borderId="134" xfId="0" applyFont="1" applyFill="1" applyBorder="1" applyAlignment="1">
      <alignment horizontal="center"/>
    </xf>
    <xf numFmtId="0" fontId="20" fillId="5" borderId="99" xfId="0" applyFont="1" applyFill="1" applyBorder="1" applyAlignment="1">
      <alignment horizontal="center"/>
    </xf>
    <xf numFmtId="0" fontId="20" fillId="5" borderId="110" xfId="0" applyFont="1" applyFill="1" applyBorder="1" applyAlignment="1">
      <alignment horizontal="center"/>
    </xf>
    <xf numFmtId="0" fontId="21" fillId="4" borderId="135" xfId="0" applyFont="1" applyFill="1" applyBorder="1" applyAlignment="1" applyProtection="1">
      <alignment horizontal="center" vertical="center"/>
    </xf>
    <xf numFmtId="0" fontId="21" fillId="4" borderId="137" xfId="0" applyFont="1" applyFill="1" applyBorder="1" applyAlignment="1" applyProtection="1">
      <alignment horizontal="center" vertical="center"/>
    </xf>
    <xf numFmtId="0" fontId="21" fillId="4" borderId="138" xfId="0" applyFont="1" applyFill="1" applyBorder="1" applyAlignment="1" applyProtection="1">
      <alignment horizontal="center" vertical="center"/>
    </xf>
    <xf numFmtId="0" fontId="21" fillId="4" borderId="135" xfId="0" applyFont="1" applyFill="1" applyBorder="1" applyAlignment="1" applyProtection="1">
      <alignment horizontal="center" vertical="center" wrapText="1"/>
    </xf>
    <xf numFmtId="0" fontId="21" fillId="2" borderId="135" xfId="0" applyFont="1" applyFill="1" applyBorder="1" applyAlignment="1">
      <alignment horizontal="center" vertical="center" wrapText="1"/>
    </xf>
    <xf numFmtId="0" fontId="21" fillId="2" borderId="137" xfId="0" applyFont="1" applyFill="1" applyBorder="1" applyAlignment="1">
      <alignment horizontal="center" vertical="center" wrapText="1"/>
    </xf>
    <xf numFmtId="0" fontId="21" fillId="2" borderId="138" xfId="0" applyFont="1" applyFill="1" applyBorder="1" applyAlignment="1">
      <alignment horizontal="center" vertical="center" wrapText="1"/>
    </xf>
    <xf numFmtId="0" fontId="21" fillId="4" borderId="135" xfId="0" applyFont="1" applyFill="1" applyBorder="1" applyAlignment="1">
      <alignment horizontal="center" vertical="center" wrapText="1"/>
    </xf>
    <xf numFmtId="0" fontId="21" fillId="4" borderId="137" xfId="0" applyFont="1" applyFill="1" applyBorder="1" applyAlignment="1">
      <alignment horizontal="center" vertical="center" wrapText="1"/>
    </xf>
    <xf numFmtId="0" fontId="21" fillId="4" borderId="138" xfId="0" applyFont="1" applyFill="1" applyBorder="1" applyAlignment="1">
      <alignment horizontal="center" vertical="center" wrapText="1"/>
    </xf>
    <xf numFmtId="0" fontId="19" fillId="4" borderId="136" xfId="0" applyFont="1" applyFill="1" applyBorder="1" applyAlignment="1">
      <alignment horizontal="center" vertical="center" wrapText="1"/>
    </xf>
    <xf numFmtId="16" fontId="21" fillId="6" borderId="135" xfId="0" applyNumberFormat="1" applyFont="1" applyFill="1" applyBorder="1" applyAlignment="1">
      <alignment horizontal="center" vertical="center" wrapText="1"/>
    </xf>
    <xf numFmtId="0" fontId="21" fillId="6" borderId="135" xfId="0" applyFont="1" applyFill="1" applyBorder="1" applyAlignment="1">
      <alignment horizontal="center" vertical="center" wrapText="1"/>
    </xf>
    <xf numFmtId="0" fontId="21" fillId="5" borderId="135" xfId="0" applyFont="1" applyFill="1" applyBorder="1" applyAlignment="1">
      <alignment horizontal="center" vertical="center" wrapText="1"/>
    </xf>
    <xf numFmtId="0" fontId="21" fillId="5" borderId="137" xfId="0" applyFont="1" applyFill="1" applyBorder="1" applyAlignment="1">
      <alignment horizontal="center" vertical="center" wrapText="1"/>
    </xf>
    <xf numFmtId="0" fontId="21" fillId="5" borderId="138" xfId="0" applyFont="1" applyFill="1" applyBorder="1" applyAlignment="1">
      <alignment horizontal="center" vertical="center" wrapText="1"/>
    </xf>
    <xf numFmtId="0" fontId="21" fillId="12" borderId="135" xfId="0" applyFont="1" applyFill="1" applyBorder="1" applyAlignment="1">
      <alignment horizontal="center" vertical="center" wrapText="1"/>
    </xf>
    <xf numFmtId="0" fontId="21" fillId="12" borderId="137" xfId="0" applyFont="1" applyFill="1" applyBorder="1" applyAlignment="1">
      <alignment horizontal="center" vertical="center" wrapText="1"/>
    </xf>
    <xf numFmtId="0" fontId="21" fillId="12" borderId="138" xfId="0" applyFont="1" applyFill="1" applyBorder="1" applyAlignment="1">
      <alignment horizontal="center" vertical="center" wrapText="1"/>
    </xf>
    <xf numFmtId="0" fontId="21" fillId="11" borderId="135" xfId="0" applyFont="1" applyFill="1" applyBorder="1" applyAlignment="1">
      <alignment horizontal="center" vertical="center" wrapText="1"/>
    </xf>
    <xf numFmtId="0" fontId="21" fillId="11" borderId="137" xfId="0" applyFont="1" applyFill="1" applyBorder="1" applyAlignment="1">
      <alignment horizontal="center" vertical="center" wrapText="1"/>
    </xf>
    <xf numFmtId="0" fontId="21" fillId="11" borderId="138" xfId="0" applyFont="1" applyFill="1" applyBorder="1" applyAlignment="1">
      <alignment horizontal="center" vertical="center" wrapText="1"/>
    </xf>
    <xf numFmtId="0" fontId="111" fillId="0" borderId="0" xfId="0" applyFont="1" applyAlignment="1">
      <alignment horizontal="center" wrapText="1"/>
    </xf>
    <xf numFmtId="0" fontId="34" fillId="7" borderId="134" xfId="0" applyFont="1" applyFill="1" applyBorder="1" applyAlignment="1">
      <alignment horizontal="center"/>
    </xf>
    <xf numFmtId="0" fontId="34" fillId="7" borderId="110" xfId="0" applyFont="1" applyFill="1" applyBorder="1" applyAlignment="1">
      <alignment horizontal="center"/>
    </xf>
    <xf numFmtId="7" fontId="46" fillId="0" borderId="0" xfId="2" applyNumberFormat="1" applyFont="1" applyAlignment="1">
      <alignment horizontal="center" wrapText="1"/>
    </xf>
    <xf numFmtId="0" fontId="14" fillId="0" borderId="0" xfId="0" applyFont="1" applyFill="1" applyBorder="1" applyAlignment="1">
      <alignment horizontal="left" wrapText="1"/>
    </xf>
    <xf numFmtId="0" fontId="27" fillId="0" borderId="0" xfId="0" applyFont="1" applyBorder="1" applyAlignment="1">
      <alignment horizontal="center" vertical="center" wrapText="1"/>
    </xf>
    <xf numFmtId="0" fontId="27" fillId="0" borderId="0" xfId="0" applyFont="1" applyBorder="1" applyAlignment="1">
      <alignment vertical="center" wrapText="1"/>
    </xf>
    <xf numFmtId="0" fontId="16" fillId="0" borderId="0" xfId="0" applyFont="1" applyAlignment="1">
      <alignment horizontal="left"/>
    </xf>
    <xf numFmtId="0" fontId="29" fillId="0" borderId="0" xfId="0" applyFont="1" applyBorder="1" applyAlignment="1">
      <alignment horizontal="center" vertical="center" wrapText="1"/>
    </xf>
    <xf numFmtId="0" fontId="30" fillId="0" borderId="0" xfId="0" applyFont="1" applyBorder="1" applyAlignment="1">
      <alignment vertical="center" wrapText="1"/>
    </xf>
    <xf numFmtId="0" fontId="32" fillId="0" borderId="0" xfId="0" applyFont="1" applyBorder="1" applyAlignment="1">
      <alignment horizontal="center" vertical="center" wrapText="1"/>
    </xf>
    <xf numFmtId="0" fontId="33" fillId="0" borderId="0" xfId="0" applyFont="1" applyBorder="1" applyAlignment="1">
      <alignment vertical="center" wrapText="1"/>
    </xf>
    <xf numFmtId="0" fontId="40" fillId="7" borderId="158" xfId="0" applyFont="1" applyFill="1" applyBorder="1" applyAlignment="1">
      <alignment horizontal="center"/>
    </xf>
    <xf numFmtId="0" fontId="40" fillId="7" borderId="49" xfId="0" applyFont="1" applyFill="1" applyBorder="1" applyAlignment="1">
      <alignment horizontal="center"/>
    </xf>
    <xf numFmtId="0" fontId="40" fillId="7" borderId="153" xfId="0" applyFont="1" applyFill="1" applyBorder="1" applyAlignment="1">
      <alignment horizontal="center"/>
    </xf>
    <xf numFmtId="0" fontId="40" fillId="13" borderId="158" xfId="0" applyFont="1" applyFill="1" applyBorder="1" applyAlignment="1">
      <alignment horizontal="center"/>
    </xf>
    <xf numFmtId="0" fontId="40" fillId="13" borderId="49" xfId="0" applyFont="1" applyFill="1" applyBorder="1" applyAlignment="1">
      <alignment horizontal="center"/>
    </xf>
    <xf numFmtId="0" fontId="40" fillId="13" borderId="153" xfId="0" applyFont="1" applyFill="1" applyBorder="1" applyAlignment="1">
      <alignment horizontal="center"/>
    </xf>
    <xf numFmtId="0" fontId="43" fillId="4" borderId="135" xfId="0" applyFont="1" applyFill="1" applyBorder="1" applyAlignment="1">
      <alignment horizontal="center" vertical="center" wrapText="1"/>
    </xf>
    <xf numFmtId="0" fontId="43" fillId="4" borderId="138" xfId="0" applyFont="1" applyFill="1" applyBorder="1" applyAlignment="1">
      <alignment horizontal="center" vertical="center" wrapText="1"/>
    </xf>
    <xf numFmtId="0" fontId="21" fillId="4" borderId="138" xfId="0" quotePrefix="1" applyFont="1" applyFill="1" applyBorder="1" applyAlignment="1">
      <alignment horizontal="center" vertical="center" wrapText="1"/>
    </xf>
    <xf numFmtId="0" fontId="14" fillId="0" borderId="0" xfId="0" applyFont="1" applyAlignment="1">
      <alignment horizontal="left" wrapText="1"/>
    </xf>
    <xf numFmtId="0" fontId="50" fillId="21" borderId="134" xfId="0" applyFont="1" applyFill="1" applyBorder="1" applyAlignment="1" applyProtection="1">
      <alignment horizontal="center" vertical="center" wrapText="1"/>
    </xf>
    <xf numFmtId="0" fontId="50" fillId="21" borderId="110" xfId="0" quotePrefix="1" applyFont="1" applyFill="1" applyBorder="1" applyAlignment="1" applyProtection="1">
      <alignment horizontal="center" vertical="center" wrapText="1"/>
    </xf>
    <xf numFmtId="0" fontId="21" fillId="4" borderId="136" xfId="0" applyFont="1" applyFill="1" applyBorder="1" applyAlignment="1" applyProtection="1">
      <alignment horizontal="center" vertical="center" wrapText="1"/>
    </xf>
    <xf numFmtId="0" fontId="21" fillId="4" borderId="136" xfId="0" applyFont="1" applyFill="1" applyBorder="1" applyAlignment="1" applyProtection="1">
      <alignment horizontal="center" vertical="center"/>
    </xf>
    <xf numFmtId="0" fontId="21" fillId="4" borderId="134" xfId="0" applyFont="1" applyFill="1" applyBorder="1" applyAlignment="1" applyProtection="1">
      <alignment horizontal="center" vertical="center" wrapText="1"/>
    </xf>
    <xf numFmtId="0" fontId="50" fillId="21" borderId="99" xfId="0" applyFont="1" applyFill="1" applyBorder="1" applyAlignment="1" applyProtection="1">
      <alignment horizontal="center" vertical="center" wrapText="1"/>
    </xf>
    <xf numFmtId="0" fontId="50" fillId="21" borderId="110" xfId="0" applyFont="1" applyFill="1" applyBorder="1" applyAlignment="1" applyProtection="1">
      <alignment horizontal="center" vertical="center" wrapText="1"/>
    </xf>
    <xf numFmtId="0" fontId="51" fillId="2" borderId="110" xfId="0" applyFont="1" applyFill="1" applyBorder="1" applyAlignment="1">
      <alignment horizontal="center" vertical="center" wrapText="1"/>
    </xf>
    <xf numFmtId="0" fontId="50" fillId="2" borderId="134" xfId="0" applyFont="1" applyFill="1" applyBorder="1" applyAlignment="1">
      <alignment horizontal="center" vertical="center" wrapText="1"/>
    </xf>
    <xf numFmtId="0" fontId="50" fillId="2" borderId="110" xfId="0" applyFont="1" applyFill="1" applyBorder="1" applyAlignment="1">
      <alignment horizontal="center" vertical="center" wrapText="1"/>
    </xf>
    <xf numFmtId="0" fontId="50" fillId="2" borderId="135" xfId="0" applyFont="1" applyFill="1" applyBorder="1" applyAlignment="1">
      <alignment horizontal="center" vertical="center" wrapText="1"/>
    </xf>
    <xf numFmtId="0" fontId="21" fillId="6" borderId="138" xfId="0" applyFont="1" applyFill="1" applyBorder="1" applyAlignment="1">
      <alignment horizontal="center" vertical="center" wrapText="1"/>
    </xf>
    <xf numFmtId="0" fontId="21" fillId="4" borderId="135" xfId="0" quotePrefix="1" applyFont="1" applyFill="1" applyBorder="1" applyAlignment="1">
      <alignment horizontal="center" vertical="center" wrapText="1"/>
    </xf>
    <xf numFmtId="0" fontId="21" fillId="2" borderId="135" xfId="0" quotePrefix="1" applyFont="1" applyFill="1" applyBorder="1" applyAlignment="1">
      <alignment horizontal="center" vertical="center" wrapText="1"/>
    </xf>
    <xf numFmtId="0" fontId="21" fillId="2" borderId="138" xfId="0" quotePrefix="1" applyFont="1" applyFill="1" applyBorder="1" applyAlignment="1">
      <alignment horizontal="center" vertical="center" wrapText="1"/>
    </xf>
    <xf numFmtId="0" fontId="21" fillId="14" borderId="135" xfId="0" quotePrefix="1" applyFont="1" applyFill="1" applyBorder="1" applyAlignment="1">
      <alignment horizontal="center" vertical="center" wrapText="1"/>
    </xf>
    <xf numFmtId="0" fontId="21" fillId="14" borderId="138" xfId="0" quotePrefix="1" applyFont="1" applyFill="1" applyBorder="1" applyAlignment="1">
      <alignment horizontal="center" vertical="center" wrapText="1"/>
    </xf>
    <xf numFmtId="0" fontId="21" fillId="24" borderId="135" xfId="0" applyFont="1" applyFill="1" applyBorder="1" applyAlignment="1">
      <alignment horizontal="center" vertical="center" wrapText="1"/>
    </xf>
    <xf numFmtId="0" fontId="21" fillId="24" borderId="138" xfId="0" applyFont="1" applyFill="1" applyBorder="1" applyAlignment="1">
      <alignment horizontal="center" vertical="center" wrapText="1"/>
    </xf>
    <xf numFmtId="0" fontId="21" fillId="14" borderId="135" xfId="0" applyFont="1" applyFill="1" applyBorder="1" applyAlignment="1">
      <alignment horizontal="center" vertical="center" wrapText="1"/>
    </xf>
    <xf numFmtId="0" fontId="21" fillId="14" borderId="138" xfId="0" applyFont="1" applyFill="1" applyBorder="1" applyAlignment="1">
      <alignment horizontal="center" vertical="center" wrapText="1"/>
    </xf>
    <xf numFmtId="0" fontId="21" fillId="8" borderId="135" xfId="0" applyFont="1" applyFill="1" applyBorder="1" applyAlignment="1">
      <alignment horizontal="center" vertical="center" wrapText="1"/>
    </xf>
    <xf numFmtId="0" fontId="21" fillId="8" borderId="138" xfId="0" applyFont="1" applyFill="1" applyBorder="1" applyAlignment="1">
      <alignment horizontal="center" vertical="center" wrapText="1"/>
    </xf>
    <xf numFmtId="0" fontId="21" fillId="5" borderId="138" xfId="0" quotePrefix="1" applyFont="1" applyFill="1" applyBorder="1" applyAlignment="1">
      <alignment horizontal="center" vertical="center" wrapText="1"/>
    </xf>
    <xf numFmtId="0" fontId="1" fillId="0" borderId="0" xfId="0" applyFont="1" applyFill="1" applyAlignment="1">
      <alignment horizontal="left" vertical="top" wrapText="1"/>
    </xf>
    <xf numFmtId="37" fontId="50" fillId="5" borderId="134" xfId="1" applyNumberFormat="1" applyFont="1" applyFill="1" applyBorder="1" applyAlignment="1">
      <alignment horizontal="center" vertical="center"/>
    </xf>
    <xf numFmtId="37" fontId="50" fillId="5" borderId="99" xfId="1" applyNumberFormat="1" applyFont="1" applyFill="1" applyBorder="1" applyAlignment="1">
      <alignment horizontal="center" vertical="center"/>
    </xf>
    <xf numFmtId="37" fontId="50" fillId="5" borderId="110" xfId="1" applyNumberFormat="1" applyFont="1" applyFill="1" applyBorder="1" applyAlignment="1">
      <alignment horizontal="center" vertical="center"/>
    </xf>
    <xf numFmtId="0" fontId="58" fillId="15" borderId="134" xfId="0" applyFont="1" applyFill="1" applyBorder="1" applyAlignment="1">
      <alignment horizontal="center" wrapText="1"/>
    </xf>
    <xf numFmtId="0" fontId="58" fillId="15" borderId="99" xfId="0" applyFont="1" applyFill="1" applyBorder="1" applyAlignment="1">
      <alignment horizontal="center" wrapText="1"/>
    </xf>
    <xf numFmtId="0" fontId="51" fillId="0" borderId="0" xfId="0" applyFont="1" applyBorder="1" applyAlignment="1">
      <alignment horizontal="left" wrapText="1"/>
    </xf>
    <xf numFmtId="0" fontId="65" fillId="0" borderId="0" xfId="0" applyFont="1" applyBorder="1" applyAlignment="1">
      <alignment horizontal="left" wrapText="1"/>
    </xf>
    <xf numFmtId="0" fontId="54" fillId="5" borderId="134" xfId="0" applyFont="1" applyFill="1" applyBorder="1" applyAlignment="1">
      <alignment horizontal="center" vertical="center"/>
    </xf>
    <xf numFmtId="0" fontId="54" fillId="5" borderId="99" xfId="0" applyFont="1" applyFill="1" applyBorder="1" applyAlignment="1">
      <alignment horizontal="center" vertical="center"/>
    </xf>
    <xf numFmtId="0" fontId="54" fillId="5" borderId="110" xfId="0" applyFont="1" applyFill="1" applyBorder="1" applyAlignment="1">
      <alignment horizontal="center" vertical="center"/>
    </xf>
    <xf numFmtId="0" fontId="109" fillId="5" borderId="0" xfId="0" applyFont="1" applyFill="1" applyAlignment="1">
      <alignment horizontal="center"/>
    </xf>
    <xf numFmtId="0" fontId="19" fillId="0" borderId="0" xfId="0" applyFont="1" applyBorder="1" applyAlignment="1">
      <alignment horizontal="left" vertical="top" wrapText="1"/>
    </xf>
    <xf numFmtId="0" fontId="109" fillId="36" borderId="0" xfId="0" applyFont="1" applyFill="1" applyAlignment="1">
      <alignment horizontal="center"/>
    </xf>
    <xf numFmtId="0" fontId="109" fillId="20" borderId="0" xfId="0" applyFont="1" applyFill="1" applyAlignment="1">
      <alignment horizontal="center"/>
    </xf>
    <xf numFmtId="0" fontId="21" fillId="15" borderId="135" xfId="0" applyFont="1" applyFill="1" applyBorder="1" applyAlignment="1">
      <alignment horizontal="center" vertical="center" wrapText="1"/>
    </xf>
    <xf numFmtId="0" fontId="21" fillId="15" borderId="138" xfId="0" applyFont="1" applyFill="1" applyBorder="1" applyAlignment="1">
      <alignment horizontal="center" vertical="center" wrapText="1"/>
    </xf>
    <xf numFmtId="0" fontId="21" fillId="9" borderId="136" xfId="0" applyFont="1" applyFill="1" applyBorder="1" applyAlignment="1">
      <alignment horizontal="center" vertical="center" wrapText="1"/>
    </xf>
    <xf numFmtId="0" fontId="21" fillId="28" borderId="135" xfId="0" applyFont="1" applyFill="1" applyBorder="1" applyAlignment="1">
      <alignment horizontal="center" vertical="center" wrapText="1"/>
    </xf>
    <xf numFmtId="0" fontId="21" fillId="28" borderId="138" xfId="0" applyFont="1" applyFill="1" applyBorder="1" applyAlignment="1">
      <alignment horizontal="center" vertical="center" wrapText="1"/>
    </xf>
    <xf numFmtId="0" fontId="21" fillId="32" borderId="135" xfId="0" applyFont="1" applyFill="1" applyBorder="1" applyAlignment="1">
      <alignment horizontal="center" vertical="center" wrapText="1"/>
    </xf>
    <xf numFmtId="0" fontId="21" fillId="32" borderId="138" xfId="0" applyFont="1" applyFill="1" applyBorder="1" applyAlignment="1">
      <alignment horizontal="center" vertical="center" wrapText="1"/>
    </xf>
    <xf numFmtId="0" fontId="21" fillId="31" borderId="135" xfId="0" applyFont="1" applyFill="1" applyBorder="1" applyAlignment="1">
      <alignment horizontal="center" vertical="center" wrapText="1"/>
    </xf>
    <xf numFmtId="0" fontId="21" fillId="31" borderId="138" xfId="0" applyFont="1" applyFill="1" applyBorder="1" applyAlignment="1">
      <alignment horizontal="center" vertical="center" wrapText="1"/>
    </xf>
    <xf numFmtId="0" fontId="21" fillId="30" borderId="135" xfId="0" applyFont="1" applyFill="1" applyBorder="1" applyAlignment="1">
      <alignment horizontal="center" vertical="center" wrapText="1"/>
    </xf>
    <xf numFmtId="0" fontId="21" fillId="30" borderId="138" xfId="0" applyFont="1" applyFill="1" applyBorder="1" applyAlignment="1">
      <alignment horizontal="center" vertical="center" wrapText="1"/>
    </xf>
    <xf numFmtId="15" fontId="21" fillId="4" borderId="135" xfId="0" applyNumberFormat="1" applyFont="1" applyFill="1" applyBorder="1" applyAlignment="1">
      <alignment horizontal="center" vertical="center" wrapText="1"/>
    </xf>
    <xf numFmtId="15" fontId="21" fillId="4" borderId="138" xfId="0" applyNumberFormat="1" applyFont="1" applyFill="1" applyBorder="1" applyAlignment="1">
      <alignment horizontal="center" vertical="center" wrapText="1"/>
    </xf>
    <xf numFmtId="0" fontId="54" fillId="28" borderId="136" xfId="0" applyFont="1" applyFill="1" applyBorder="1" applyAlignment="1">
      <alignment horizontal="center" vertical="center"/>
    </xf>
    <xf numFmtId="0" fontId="66" fillId="18" borderId="0" xfId="0" applyFont="1" applyFill="1" applyAlignment="1">
      <alignment horizontal="center" vertical="center" wrapText="1"/>
    </xf>
    <xf numFmtId="0" fontId="50" fillId="27" borderId="134" xfId="0" applyFont="1" applyFill="1" applyBorder="1" applyAlignment="1" applyProtection="1">
      <alignment horizontal="center" vertical="center" wrapText="1"/>
    </xf>
    <xf numFmtId="0" fontId="50" fillId="27" borderId="110" xfId="0" quotePrefix="1" applyFont="1" applyFill="1" applyBorder="1" applyAlignment="1" applyProtection="1">
      <alignment horizontal="center" vertical="center" wrapText="1"/>
    </xf>
    <xf numFmtId="0" fontId="50" fillId="29" borderId="134" xfId="0" applyFont="1" applyFill="1" applyBorder="1" applyAlignment="1" applyProtection="1">
      <alignment horizontal="center" vertical="center" wrapText="1"/>
    </xf>
    <xf numFmtId="0" fontId="50" fillId="29" borderId="99" xfId="0" applyFont="1" applyFill="1" applyBorder="1" applyAlignment="1" applyProtection="1">
      <alignment horizontal="center" vertical="center" wrapText="1"/>
    </xf>
    <xf numFmtId="0" fontId="50" fillId="29" borderId="110" xfId="0" applyFont="1" applyFill="1" applyBorder="1" applyAlignment="1" applyProtection="1">
      <alignment horizontal="center" vertical="center" wrapText="1"/>
    </xf>
    <xf numFmtId="0" fontId="75" fillId="0" borderId="0" xfId="0" applyFont="1" applyBorder="1" applyAlignment="1">
      <alignment horizontal="left" wrapText="1"/>
    </xf>
    <xf numFmtId="0" fontId="21" fillId="16" borderId="135" xfId="0" applyFont="1" applyFill="1" applyBorder="1" applyAlignment="1">
      <alignment horizontal="center" vertical="center" wrapText="1"/>
    </xf>
    <xf numFmtId="0" fontId="21" fillId="16" borderId="138" xfId="0" applyFont="1" applyFill="1" applyBorder="1" applyAlignment="1">
      <alignment horizontal="center" vertical="center" wrapText="1"/>
    </xf>
    <xf numFmtId="0" fontId="70" fillId="14" borderId="135" xfId="0" applyFont="1" applyFill="1" applyBorder="1" applyAlignment="1">
      <alignment horizontal="center" vertical="center" wrapText="1"/>
    </xf>
    <xf numFmtId="0" fontId="70" fillId="14" borderId="138" xfId="0" applyFont="1" applyFill="1" applyBorder="1" applyAlignment="1">
      <alignment horizontal="center" vertical="center" wrapText="1"/>
    </xf>
    <xf numFmtId="0" fontId="43" fillId="14" borderId="135" xfId="0" applyFont="1" applyFill="1" applyBorder="1" applyAlignment="1">
      <alignment horizontal="center" vertical="center" wrapText="1"/>
    </xf>
    <xf numFmtId="0" fontId="21" fillId="5" borderId="136" xfId="0" quotePrefix="1" applyFont="1" applyFill="1" applyBorder="1" applyAlignment="1">
      <alignment horizontal="center" vertical="center" wrapText="1"/>
    </xf>
    <xf numFmtId="0" fontId="21" fillId="8" borderId="138" xfId="0" quotePrefix="1" applyFont="1" applyFill="1" applyBorder="1" applyAlignment="1">
      <alignment horizontal="center" vertical="center" wrapText="1"/>
    </xf>
    <xf numFmtId="0" fontId="65" fillId="4" borderId="136" xfId="0" applyFont="1" applyFill="1" applyBorder="1" applyAlignment="1">
      <alignment horizontal="center" vertical="center" wrapText="1"/>
    </xf>
    <xf numFmtId="0" fontId="65" fillId="4" borderId="136" xfId="0" applyFont="1" applyFill="1" applyBorder="1" applyAlignment="1">
      <alignment horizontal="center" vertical="center"/>
    </xf>
    <xf numFmtId="0" fontId="21" fillId="4" borderId="136" xfId="0" applyFont="1" applyFill="1" applyBorder="1" applyAlignment="1">
      <alignment horizontal="center" vertical="center" wrapText="1"/>
    </xf>
    <xf numFmtId="0" fontId="21" fillId="28" borderId="136" xfId="0" applyFont="1" applyFill="1" applyBorder="1" applyAlignment="1">
      <alignment horizontal="center" vertical="center" wrapText="1"/>
    </xf>
    <xf numFmtId="0" fontId="21" fillId="37" borderId="135" xfId="0" applyFont="1" applyFill="1" applyBorder="1" applyAlignment="1">
      <alignment horizontal="center" vertical="center" wrapText="1"/>
    </xf>
    <xf numFmtId="0" fontId="21" fillId="37" borderId="138" xfId="0" applyFont="1" applyFill="1" applyBorder="1" applyAlignment="1">
      <alignment horizontal="center" vertical="center" wrapText="1"/>
    </xf>
    <xf numFmtId="0" fontId="65" fillId="12" borderId="136" xfId="0" applyFont="1" applyFill="1" applyBorder="1" applyAlignment="1">
      <alignment horizontal="center" vertical="center" wrapText="1"/>
    </xf>
    <xf numFmtId="0" fontId="65" fillId="12" borderId="136" xfId="0" applyFont="1" applyFill="1" applyBorder="1" applyAlignment="1">
      <alignment horizontal="center" vertical="center"/>
    </xf>
    <xf numFmtId="0" fontId="113" fillId="0" borderId="0" xfId="0" applyFont="1" applyBorder="1" applyAlignment="1">
      <alignment horizontal="center" wrapText="1"/>
    </xf>
    <xf numFmtId="0" fontId="113" fillId="0" borderId="0" xfId="0" applyFont="1" applyBorder="1" applyAlignment="1">
      <alignment horizontal="center"/>
    </xf>
    <xf numFmtId="6" fontId="114" fillId="0" borderId="0" xfId="0" applyNumberFormat="1" applyFont="1" applyBorder="1" applyAlignment="1">
      <alignment horizontal="left" wrapText="1"/>
    </xf>
    <xf numFmtId="0" fontId="83" fillId="0" borderId="0" xfId="0" applyFont="1" applyBorder="1" applyAlignment="1">
      <alignment horizontal="left" wrapText="1"/>
    </xf>
    <xf numFmtId="0" fontId="82" fillId="14" borderId="135" xfId="0" applyFont="1" applyFill="1" applyBorder="1" applyAlignment="1">
      <alignment horizontal="center" vertical="center" wrapText="1"/>
    </xf>
    <xf numFmtId="0" fontId="82" fillId="14" borderId="138" xfId="0" applyFont="1" applyFill="1" applyBorder="1" applyAlignment="1">
      <alignment horizontal="center" vertical="center" wrapText="1"/>
    </xf>
    <xf numFmtId="0" fontId="77" fillId="15" borderId="135" xfId="0" applyFont="1" applyFill="1" applyBorder="1" applyAlignment="1">
      <alignment horizontal="center" vertical="center" wrapText="1"/>
    </xf>
    <xf numFmtId="0" fontId="77" fillId="15" borderId="138" xfId="0" applyFont="1" applyFill="1" applyBorder="1" applyAlignment="1">
      <alignment horizontal="center" vertical="center" wrapText="1"/>
    </xf>
    <xf numFmtId="0" fontId="21" fillId="36" borderId="136" xfId="0" applyFont="1" applyFill="1" applyBorder="1" applyAlignment="1">
      <alignment horizontal="center" vertical="center" wrapText="1"/>
    </xf>
    <xf numFmtId="0" fontId="80" fillId="14" borderId="135" xfId="0" applyFont="1" applyFill="1" applyBorder="1" applyAlignment="1">
      <alignment horizontal="center" vertical="center" wrapText="1"/>
    </xf>
    <xf numFmtId="0" fontId="77" fillId="14" borderId="138" xfId="0" applyFont="1" applyFill="1" applyBorder="1" applyAlignment="1">
      <alignment horizontal="center" vertical="center" wrapText="1"/>
    </xf>
    <xf numFmtId="0" fontId="82" fillId="36" borderId="135" xfId="0" applyFont="1" applyFill="1" applyBorder="1" applyAlignment="1">
      <alignment horizontal="center" vertical="center" wrapText="1"/>
    </xf>
    <xf numFmtId="0" fontId="82" fillId="36" borderId="138" xfId="0" applyFont="1" applyFill="1" applyBorder="1" applyAlignment="1">
      <alignment horizontal="center" vertical="center" wrapText="1"/>
    </xf>
    <xf numFmtId="0" fontId="77" fillId="36" borderId="135" xfId="0" applyFont="1" applyFill="1" applyBorder="1" applyAlignment="1">
      <alignment horizontal="center" vertical="center" wrapText="1"/>
    </xf>
    <xf numFmtId="0" fontId="77" fillId="36" borderId="138" xfId="0" applyFont="1" applyFill="1" applyBorder="1" applyAlignment="1">
      <alignment horizontal="center" vertical="center" wrapText="1"/>
    </xf>
    <xf numFmtId="0" fontId="77" fillId="16" borderId="135" xfId="0" applyFont="1" applyFill="1" applyBorder="1" applyAlignment="1">
      <alignment horizontal="center" vertical="center" wrapText="1"/>
    </xf>
    <xf numFmtId="0" fontId="77" fillId="16" borderId="138" xfId="0" applyFont="1" applyFill="1" applyBorder="1" applyAlignment="1">
      <alignment horizontal="center" vertical="center" wrapText="1"/>
    </xf>
    <xf numFmtId="0" fontId="77" fillId="5" borderId="136" xfId="0" quotePrefix="1" applyFont="1" applyFill="1" applyBorder="1" applyAlignment="1">
      <alignment horizontal="center" vertical="center" wrapText="1"/>
    </xf>
    <xf numFmtId="0" fontId="77" fillId="8" borderId="135" xfId="0" applyFont="1" applyFill="1" applyBorder="1" applyAlignment="1">
      <alignment horizontal="center" vertical="center" wrapText="1"/>
    </xf>
    <xf numFmtId="0" fontId="77" fillId="8" borderId="138" xfId="0" quotePrefix="1" applyFont="1" applyFill="1" applyBorder="1" applyAlignment="1">
      <alignment horizontal="center" vertical="center" wrapText="1"/>
    </xf>
    <xf numFmtId="0" fontId="77" fillId="5" borderId="135" xfId="0" applyFont="1" applyFill="1" applyBorder="1" applyAlignment="1">
      <alignment horizontal="center" vertical="center" wrapText="1"/>
    </xf>
    <xf numFmtId="0" fontId="77" fillId="5" borderId="138" xfId="0" quotePrefix="1" applyFont="1" applyFill="1" applyBorder="1" applyAlignment="1">
      <alignment horizontal="center" vertical="center" wrapText="1"/>
    </xf>
    <xf numFmtId="0" fontId="77" fillId="14" borderId="135" xfId="0" applyFont="1" applyFill="1" applyBorder="1" applyAlignment="1">
      <alignment horizontal="center" vertical="center" wrapText="1"/>
    </xf>
    <xf numFmtId="0" fontId="72" fillId="5" borderId="134" xfId="0" applyFont="1" applyFill="1" applyBorder="1" applyAlignment="1">
      <alignment horizontal="center" vertical="center"/>
    </xf>
    <xf numFmtId="0" fontId="72" fillId="5" borderId="99" xfId="0" applyFont="1" applyFill="1" applyBorder="1" applyAlignment="1">
      <alignment horizontal="center" vertical="center"/>
    </xf>
    <xf numFmtId="0" fontId="72" fillId="5" borderId="110" xfId="0" applyFont="1" applyFill="1" applyBorder="1" applyAlignment="1">
      <alignment horizontal="center" vertical="center"/>
    </xf>
    <xf numFmtId="0" fontId="76" fillId="4" borderId="136" xfId="0" applyFont="1" applyFill="1" applyBorder="1" applyAlignment="1">
      <alignment horizontal="center" vertical="center" wrapText="1"/>
    </xf>
    <xf numFmtId="0" fontId="76" fillId="4" borderId="136" xfId="0" applyFont="1" applyFill="1" applyBorder="1" applyAlignment="1">
      <alignment horizontal="center" vertical="center"/>
    </xf>
    <xf numFmtId="0" fontId="77" fillId="4" borderId="136" xfId="0" applyFont="1" applyFill="1" applyBorder="1" applyAlignment="1">
      <alignment horizontal="center" vertical="center" wrapText="1"/>
    </xf>
    <xf numFmtId="0" fontId="77" fillId="4" borderId="135" xfId="0" applyFont="1" applyFill="1" applyBorder="1" applyAlignment="1">
      <alignment horizontal="center" vertical="center" wrapText="1"/>
    </xf>
    <xf numFmtId="0" fontId="77" fillId="4" borderId="138" xfId="0" applyFont="1" applyFill="1" applyBorder="1" applyAlignment="1">
      <alignment horizontal="center" vertical="center" wrapText="1"/>
    </xf>
    <xf numFmtId="0" fontId="77" fillId="28" borderId="136" xfId="0" applyFont="1" applyFill="1" applyBorder="1" applyAlignment="1">
      <alignment horizontal="center" vertical="center" wrapText="1"/>
    </xf>
    <xf numFmtId="0" fontId="77" fillId="28" borderId="135" xfId="0" applyFont="1" applyFill="1" applyBorder="1" applyAlignment="1">
      <alignment horizontal="center" vertical="center" wrapText="1"/>
    </xf>
    <xf numFmtId="0" fontId="77" fillId="28" borderId="138" xfId="0" applyFont="1" applyFill="1" applyBorder="1" applyAlignment="1">
      <alignment horizontal="center" vertical="center" wrapText="1"/>
    </xf>
    <xf numFmtId="0" fontId="77" fillId="2" borderId="135" xfId="0" applyFont="1" applyFill="1" applyBorder="1" applyAlignment="1">
      <alignment horizontal="center" vertical="center" wrapText="1"/>
    </xf>
    <xf numFmtId="0" fontId="77" fillId="5" borderId="138" xfId="0" applyFont="1" applyFill="1" applyBorder="1" applyAlignment="1">
      <alignment horizontal="center" vertical="center" wrapText="1"/>
    </xf>
    <xf numFmtId="0" fontId="80" fillId="4" borderId="135" xfId="0" applyFont="1" applyFill="1" applyBorder="1" applyAlignment="1">
      <alignment horizontal="center" vertical="center" wrapText="1"/>
    </xf>
    <xf numFmtId="0" fontId="92" fillId="0" borderId="0" xfId="0" applyFont="1" applyFill="1" applyBorder="1" applyAlignment="1">
      <alignment horizontal="left"/>
    </xf>
    <xf numFmtId="0" fontId="77" fillId="9" borderId="135" xfId="0" applyFont="1" applyFill="1" applyBorder="1" applyAlignment="1">
      <alignment horizontal="center" vertical="center" wrapText="1"/>
    </xf>
    <xf numFmtId="0" fontId="77" fillId="9" borderId="137" xfId="0" applyFont="1" applyFill="1" applyBorder="1" applyAlignment="1">
      <alignment horizontal="center" vertical="center" wrapText="1"/>
    </xf>
    <xf numFmtId="0" fontId="77" fillId="9" borderId="138" xfId="0" applyFont="1" applyFill="1" applyBorder="1" applyAlignment="1">
      <alignment horizontal="center" vertical="center" wrapText="1"/>
    </xf>
    <xf numFmtId="0" fontId="62" fillId="2" borderId="135" xfId="0" applyFont="1" applyFill="1" applyBorder="1" applyAlignment="1">
      <alignment horizontal="center" vertical="center" wrapText="1"/>
    </xf>
    <xf numFmtId="0" fontId="0" fillId="0" borderId="137" xfId="0" applyBorder="1"/>
    <xf numFmtId="0" fontId="0" fillId="0" borderId="138" xfId="0" applyBorder="1"/>
    <xf numFmtId="0" fontId="21" fillId="5" borderId="180" xfId="0" applyFont="1" applyFill="1" applyBorder="1" applyAlignment="1">
      <alignment horizontal="center" vertical="center" wrapText="1"/>
    </xf>
    <xf numFmtId="0" fontId="21" fillId="5" borderId="84" xfId="0" applyFont="1" applyFill="1" applyBorder="1" applyAlignment="1">
      <alignment horizontal="center" vertical="center" wrapText="1"/>
    </xf>
    <xf numFmtId="6" fontId="77" fillId="4" borderId="135" xfId="0" applyNumberFormat="1" applyFont="1" applyFill="1" applyBorder="1" applyAlignment="1">
      <alignment horizontal="center" vertical="center" wrapText="1"/>
    </xf>
    <xf numFmtId="6" fontId="77" fillId="4" borderId="138" xfId="0" applyNumberFormat="1" applyFont="1" applyFill="1" applyBorder="1" applyAlignment="1">
      <alignment horizontal="center" vertical="center" wrapText="1"/>
    </xf>
    <xf numFmtId="6" fontId="77" fillId="4" borderId="138" xfId="0" quotePrefix="1" applyNumberFormat="1" applyFont="1" applyFill="1" applyBorder="1" applyAlignment="1">
      <alignment horizontal="center" vertical="center" wrapText="1"/>
    </xf>
    <xf numFmtId="0" fontId="77" fillId="2" borderId="137" xfId="0" applyFont="1" applyFill="1" applyBorder="1" applyAlignment="1">
      <alignment horizontal="center" vertical="center" wrapText="1"/>
    </xf>
    <xf numFmtId="0" fontId="77" fillId="2" borderId="138" xfId="0" applyFont="1" applyFill="1" applyBorder="1" applyAlignment="1">
      <alignment horizontal="center" vertical="center" wrapText="1"/>
    </xf>
    <xf numFmtId="0" fontId="77" fillId="8" borderId="137" xfId="0" applyFont="1" applyFill="1" applyBorder="1" applyAlignment="1">
      <alignment horizontal="center" vertical="center" wrapText="1"/>
    </xf>
    <xf numFmtId="0" fontId="77" fillId="8" borderId="138" xfId="0" applyFont="1" applyFill="1" applyBorder="1" applyAlignment="1">
      <alignment horizontal="center" vertical="center" wrapText="1"/>
    </xf>
    <xf numFmtId="0" fontId="88" fillId="7" borderId="134" xfId="0" applyFont="1" applyFill="1" applyBorder="1" applyAlignment="1">
      <alignment horizontal="center" vertical="center" wrapText="1"/>
    </xf>
    <xf numFmtId="0" fontId="88" fillId="7" borderId="110" xfId="0" applyFont="1" applyFill="1" applyBorder="1" applyAlignment="1">
      <alignment horizontal="center" vertical="center"/>
    </xf>
    <xf numFmtId="0" fontId="84" fillId="0" borderId="0" xfId="0" applyFont="1" applyBorder="1" applyAlignment="1">
      <alignment horizontal="left"/>
    </xf>
    <xf numFmtId="0" fontId="0" fillId="0" borderId="0" xfId="0"/>
    <xf numFmtId="0" fontId="85" fillId="0" borderId="0" xfId="0" applyFont="1" applyBorder="1" applyAlignment="1">
      <alignment horizontal="left"/>
    </xf>
    <xf numFmtId="0" fontId="85" fillId="0" borderId="0" xfId="0" applyFont="1" applyBorder="1" applyAlignment="1">
      <alignment horizontal="center"/>
    </xf>
    <xf numFmtId="0" fontId="85" fillId="3" borderId="0" xfId="0" applyFont="1" applyFill="1" applyBorder="1" applyAlignment="1">
      <alignment horizontal="left"/>
    </xf>
    <xf numFmtId="0" fontId="76" fillId="4" borderId="135" xfId="0" applyFont="1" applyFill="1" applyBorder="1" applyAlignment="1">
      <alignment horizontal="center" vertical="center"/>
    </xf>
    <xf numFmtId="0" fontId="76" fillId="4" borderId="137" xfId="0" applyFont="1" applyFill="1" applyBorder="1" applyAlignment="1">
      <alignment horizontal="center" vertical="center"/>
    </xf>
    <xf numFmtId="0" fontId="76" fillId="4" borderId="138" xfId="0" applyFont="1" applyFill="1" applyBorder="1" applyAlignment="1">
      <alignment horizontal="center" vertical="center"/>
    </xf>
    <xf numFmtId="0" fontId="77" fillId="4" borderId="137" xfId="0" applyFont="1" applyFill="1" applyBorder="1" applyAlignment="1">
      <alignment horizontal="center" vertical="center" wrapText="1"/>
    </xf>
    <xf numFmtId="6" fontId="77" fillId="9" borderId="135" xfId="0" applyNumberFormat="1" applyFont="1" applyFill="1" applyBorder="1" applyAlignment="1">
      <alignment horizontal="center" vertical="center" wrapText="1"/>
    </xf>
    <xf numFmtId="6" fontId="77" fillId="9" borderId="137" xfId="0" applyNumberFormat="1" applyFont="1" applyFill="1" applyBorder="1" applyAlignment="1">
      <alignment horizontal="center" vertical="center" wrapText="1"/>
    </xf>
    <xf numFmtId="6" fontId="77" fillId="9" borderId="138" xfId="0" applyNumberFormat="1" applyFont="1" applyFill="1" applyBorder="1" applyAlignment="1">
      <alignment horizontal="center" vertical="center" wrapText="1"/>
    </xf>
    <xf numFmtId="165" fontId="14" fillId="3" borderId="0" xfId="8" applyNumberFormat="1" applyFont="1" applyFill="1" applyBorder="1" applyAlignment="1" applyProtection="1">
      <alignment horizontal="left" wrapText="1"/>
    </xf>
    <xf numFmtId="49" fontId="21" fillId="12" borderId="135" xfId="0" applyNumberFormat="1" applyFont="1" applyFill="1" applyBorder="1" applyAlignment="1">
      <alignment horizontal="center" vertical="center" wrapText="1"/>
    </xf>
    <xf numFmtId="49" fontId="21" fillId="12" borderId="138" xfId="0" applyNumberFormat="1" applyFont="1" applyFill="1" applyBorder="1" applyAlignment="1">
      <alignment horizontal="center" vertical="center" wrapText="1"/>
    </xf>
    <xf numFmtId="165" fontId="14" fillId="3" borderId="0" xfId="8" applyNumberFormat="1" applyFont="1" applyFill="1" applyBorder="1" applyAlignment="1" applyProtection="1">
      <alignment horizontal="left" vertical="top" wrapText="1"/>
    </xf>
    <xf numFmtId="0" fontId="21" fillId="4" borderId="180" xfId="0" applyFont="1" applyFill="1" applyBorder="1" applyAlignment="1" applyProtection="1">
      <alignment horizontal="center" vertical="center" wrapText="1"/>
    </xf>
    <xf numFmtId="0" fontId="21" fillId="4" borderId="159" xfId="0" applyFont="1" applyFill="1" applyBorder="1" applyAlignment="1" applyProtection="1">
      <alignment horizontal="center" vertical="center" wrapText="1"/>
    </xf>
    <xf numFmtId="0" fontId="21" fillId="4" borderId="84" xfId="0" applyFont="1" applyFill="1" applyBorder="1" applyAlignment="1" applyProtection="1">
      <alignment horizontal="center" vertical="center" wrapText="1"/>
    </xf>
    <xf numFmtId="0" fontId="21" fillId="4" borderId="113" xfId="0" applyFont="1" applyFill="1" applyBorder="1" applyAlignment="1" applyProtection="1">
      <alignment horizontal="center" vertical="center" wrapText="1"/>
    </xf>
    <xf numFmtId="0" fontId="21" fillId="4" borderId="176" xfId="0" applyFont="1" applyFill="1" applyBorder="1" applyAlignment="1" applyProtection="1">
      <alignment horizontal="center" vertical="center" wrapText="1"/>
    </xf>
    <xf numFmtId="0" fontId="21" fillId="4" borderId="160" xfId="0" applyFont="1" applyFill="1" applyBorder="1" applyAlignment="1" applyProtection="1">
      <alignment horizontal="center" vertical="center" wrapText="1"/>
    </xf>
    <xf numFmtId="49" fontId="50" fillId="2" borderId="84" xfId="0" applyNumberFormat="1" applyFont="1" applyFill="1" applyBorder="1" applyAlignment="1">
      <alignment horizontal="center" vertical="center" wrapText="1"/>
    </xf>
    <xf numFmtId="49" fontId="50" fillId="2" borderId="0" xfId="0" applyNumberFormat="1" applyFont="1" applyFill="1" applyBorder="1" applyAlignment="1">
      <alignment horizontal="center" vertical="center" wrapText="1"/>
    </xf>
    <xf numFmtId="49" fontId="50" fillId="2" borderId="113" xfId="0" applyNumberFormat="1" applyFont="1" applyFill="1" applyBorder="1" applyAlignment="1">
      <alignment horizontal="center" vertical="center" wrapText="1"/>
    </xf>
    <xf numFmtId="49" fontId="50" fillId="28" borderId="134" xfId="0" applyNumberFormat="1" applyFont="1" applyFill="1" applyBorder="1" applyAlignment="1">
      <alignment horizontal="center" vertical="center" wrapText="1"/>
    </xf>
    <xf numFmtId="49" fontId="50" fillId="28" borderId="99" xfId="0" applyNumberFormat="1" applyFont="1" applyFill="1" applyBorder="1" applyAlignment="1">
      <alignment horizontal="center" vertical="center" wrapText="1"/>
    </xf>
    <xf numFmtId="49" fontId="50" fillId="28" borderId="110" xfId="0" applyNumberFormat="1" applyFont="1" applyFill="1" applyBorder="1" applyAlignment="1">
      <alignment horizontal="center" vertical="center" wrapText="1"/>
    </xf>
    <xf numFmtId="49" fontId="21" fillId="39" borderId="135" xfId="0" applyNumberFormat="1" applyFont="1" applyFill="1" applyBorder="1" applyAlignment="1">
      <alignment horizontal="center" vertical="center" wrapText="1"/>
    </xf>
    <xf numFmtId="49" fontId="21" fillId="39" borderId="137" xfId="0" applyNumberFormat="1" applyFont="1" applyFill="1" applyBorder="1" applyAlignment="1">
      <alignment horizontal="center" vertical="center" wrapText="1"/>
    </xf>
    <xf numFmtId="49" fontId="21" fillId="39" borderId="138" xfId="0" applyNumberFormat="1" applyFont="1" applyFill="1" applyBorder="1" applyAlignment="1">
      <alignment horizontal="center" vertical="center" wrapText="1"/>
    </xf>
    <xf numFmtId="49" fontId="21" fillId="40" borderId="136" xfId="0" applyNumberFormat="1" applyFont="1" applyFill="1" applyBorder="1" applyAlignment="1">
      <alignment horizontal="center" vertical="center" wrapText="1"/>
    </xf>
    <xf numFmtId="49" fontId="21" fillId="12" borderId="159" xfId="0" applyNumberFormat="1" applyFont="1" applyFill="1" applyBorder="1" applyAlignment="1">
      <alignment horizontal="center" vertical="center" wrapText="1"/>
    </xf>
    <xf numFmtId="49" fontId="21" fillId="12" borderId="160" xfId="0" applyNumberFormat="1" applyFont="1" applyFill="1" applyBorder="1" applyAlignment="1">
      <alignment horizontal="center" vertical="center" wrapText="1"/>
    </xf>
    <xf numFmtId="49" fontId="21" fillId="40" borderId="135" xfId="0" applyNumberFormat="1" applyFont="1" applyFill="1" applyBorder="1" applyAlignment="1">
      <alignment horizontal="center" vertical="center" wrapText="1"/>
    </xf>
    <xf numFmtId="49" fontId="21" fillId="40" borderId="138" xfId="0" applyNumberFormat="1" applyFont="1" applyFill="1" applyBorder="1" applyAlignment="1">
      <alignment horizontal="center" vertical="center" wrapText="1"/>
    </xf>
    <xf numFmtId="0" fontId="21" fillId="4" borderId="137" xfId="0" applyFont="1" applyFill="1" applyBorder="1" applyAlignment="1">
      <alignment horizontal="center" vertical="center"/>
    </xf>
    <xf numFmtId="0" fontId="21" fillId="4" borderId="138" xfId="0" applyFont="1" applyFill="1" applyBorder="1" applyAlignment="1">
      <alignment horizontal="center" vertical="center"/>
    </xf>
    <xf numFmtId="0" fontId="16" fillId="2" borderId="134" xfId="0" applyFont="1" applyFill="1" applyBorder="1" applyAlignment="1">
      <alignment horizontal="center" vertical="center" wrapText="1"/>
    </xf>
    <xf numFmtId="0" fontId="16" fillId="2" borderId="99" xfId="0" applyFont="1" applyFill="1" applyBorder="1" applyAlignment="1">
      <alignment horizontal="center" vertical="center" wrapText="1"/>
    </xf>
    <xf numFmtId="0" fontId="16" fillId="2" borderId="110" xfId="0" applyFont="1" applyFill="1" applyBorder="1" applyAlignment="1">
      <alignment horizontal="center" vertical="center" wrapText="1"/>
    </xf>
    <xf numFmtId="0" fontId="101" fillId="4" borderId="136" xfId="0" applyFont="1" applyFill="1" applyBorder="1" applyAlignment="1">
      <alignment horizontal="center" wrapText="1"/>
    </xf>
    <xf numFmtId="0" fontId="101" fillId="4" borderId="136" xfId="0" applyFont="1" applyFill="1" applyBorder="1" applyAlignment="1">
      <alignment horizontal="center" vertical="center" wrapText="1"/>
    </xf>
    <xf numFmtId="0" fontId="18" fillId="4" borderId="135" xfId="0" applyFont="1" applyFill="1" applyBorder="1" applyAlignment="1">
      <alignment horizontal="center" vertical="center" wrapText="1"/>
    </xf>
    <xf numFmtId="0" fontId="18" fillId="4" borderId="137" xfId="0" applyFont="1" applyFill="1" applyBorder="1" applyAlignment="1">
      <alignment horizontal="center" vertical="center" wrapText="1"/>
    </xf>
    <xf numFmtId="0" fontId="18" fillId="4" borderId="138" xfId="0" applyFont="1" applyFill="1" applyBorder="1" applyAlignment="1">
      <alignment horizontal="center" vertical="center"/>
    </xf>
    <xf numFmtId="0" fontId="16" fillId="2" borderId="134" xfId="0" applyFont="1" applyFill="1" applyBorder="1" applyAlignment="1">
      <alignment horizontal="center" vertical="center"/>
    </xf>
    <xf numFmtId="0" fontId="16" fillId="2" borderId="99" xfId="0" applyFont="1" applyFill="1" applyBorder="1" applyAlignment="1">
      <alignment horizontal="center" vertical="center"/>
    </xf>
    <xf numFmtId="0" fontId="16" fillId="2" borderId="110" xfId="0" applyFont="1" applyFill="1" applyBorder="1" applyAlignment="1">
      <alignment horizontal="center" vertical="center"/>
    </xf>
    <xf numFmtId="0" fontId="21" fillId="4" borderId="136" xfId="0" applyFont="1" applyFill="1" applyBorder="1" applyAlignment="1">
      <alignment horizontal="center" wrapText="1"/>
    </xf>
    <xf numFmtId="0" fontId="37" fillId="4" borderId="135" xfId="0" applyFont="1" applyFill="1" applyBorder="1" applyAlignment="1">
      <alignment horizontal="center" wrapText="1"/>
    </xf>
    <xf numFmtId="0" fontId="37" fillId="4" borderId="137" xfId="0" applyFont="1" applyFill="1" applyBorder="1" applyAlignment="1">
      <alignment horizontal="center" wrapText="1"/>
    </xf>
    <xf numFmtId="0" fontId="18" fillId="4" borderId="138" xfId="0" applyFont="1" applyFill="1" applyBorder="1" applyAlignment="1">
      <alignment horizontal="center" wrapText="1"/>
    </xf>
    <xf numFmtId="0" fontId="101" fillId="2" borderId="135" xfId="0" quotePrefix="1" applyFont="1" applyFill="1" applyBorder="1" applyAlignment="1">
      <alignment horizontal="center" vertical="center" wrapText="1"/>
    </xf>
    <xf numFmtId="0" fontId="19" fillId="2" borderId="137" xfId="0" applyFont="1" applyFill="1" applyBorder="1" applyAlignment="1">
      <alignment vertical="center"/>
    </xf>
    <xf numFmtId="0" fontId="19" fillId="2" borderId="138" xfId="0" applyFont="1" applyFill="1" applyBorder="1" applyAlignment="1">
      <alignment vertical="center"/>
    </xf>
    <xf numFmtId="0" fontId="101" fillId="2" borderId="135" xfId="0" applyFont="1" applyFill="1" applyBorder="1" applyAlignment="1">
      <alignment horizontal="center" vertical="center" wrapText="1"/>
    </xf>
    <xf numFmtId="0" fontId="35" fillId="0" borderId="134" xfId="0" applyFont="1" applyBorder="1" applyAlignment="1">
      <alignment horizontal="center" vertical="center" wrapText="1"/>
    </xf>
    <xf numFmtId="0" fontId="35" fillId="0" borderId="110" xfId="0" applyFont="1" applyBorder="1" applyAlignment="1">
      <alignment horizontal="center" vertical="center" wrapText="1"/>
    </xf>
    <xf numFmtId="0" fontId="100" fillId="2" borderId="134" xfId="0" quotePrefix="1" applyFont="1" applyFill="1" applyBorder="1" applyAlignment="1">
      <alignment horizontal="center" vertical="center"/>
    </xf>
    <xf numFmtId="0" fontId="100" fillId="2" borderId="99" xfId="0" quotePrefix="1" applyFont="1" applyFill="1" applyBorder="1" applyAlignment="1">
      <alignment horizontal="center" vertical="center"/>
    </xf>
    <xf numFmtId="0" fontId="26" fillId="0" borderId="99" xfId="0" applyFont="1" applyBorder="1" applyAlignment="1">
      <alignment horizontal="center" vertical="center"/>
    </xf>
    <xf numFmtId="0" fontId="26" fillId="0" borderId="110" xfId="0" applyFont="1" applyBorder="1" applyAlignment="1">
      <alignment horizontal="center" vertical="center"/>
    </xf>
    <xf numFmtId="6" fontId="19" fillId="5" borderId="135" xfId="4" applyNumberFormat="1" applyFont="1" applyFill="1" applyBorder="1" applyAlignment="1">
      <alignment horizontal="center" vertical="center" wrapText="1"/>
    </xf>
    <xf numFmtId="6" fontId="19" fillId="5" borderId="138" xfId="4" applyNumberFormat="1" applyFont="1" applyFill="1" applyBorder="1" applyAlignment="1">
      <alignment horizontal="center" vertical="center" wrapText="1"/>
    </xf>
    <xf numFmtId="0" fontId="19" fillId="4" borderId="136" xfId="4" applyFont="1" applyFill="1" applyBorder="1" applyAlignment="1">
      <alignment horizontal="center" vertical="center" wrapText="1"/>
    </xf>
    <xf numFmtId="0" fontId="19" fillId="4" borderId="136" xfId="4" applyFont="1" applyFill="1" applyBorder="1" applyAlignment="1">
      <alignment horizontal="center" vertical="center"/>
    </xf>
    <xf numFmtId="0" fontId="19" fillId="5" borderId="136" xfId="4" applyFont="1" applyFill="1" applyBorder="1" applyAlignment="1">
      <alignment horizontal="center" vertical="center" wrapText="1"/>
    </xf>
    <xf numFmtId="6" fontId="64" fillId="5" borderId="135" xfId="4" applyNumberFormat="1" applyFont="1" applyFill="1" applyBorder="1" applyAlignment="1">
      <alignment horizontal="center" vertical="center" wrapText="1"/>
    </xf>
    <xf numFmtId="6" fontId="64" fillId="5" borderId="138" xfId="4" applyNumberFormat="1" applyFont="1" applyFill="1" applyBorder="1" applyAlignment="1">
      <alignment horizontal="center" vertical="center" wrapText="1"/>
    </xf>
    <xf numFmtId="0" fontId="109" fillId="0" borderId="0" xfId="4" applyFont="1" applyFill="1" applyAlignment="1">
      <alignment horizontal="left" wrapText="1"/>
    </xf>
    <xf numFmtId="0" fontId="109" fillId="0" borderId="0" xfId="4" quotePrefix="1" applyFont="1" applyFill="1" applyAlignment="1">
      <alignment horizontal="left" wrapText="1"/>
    </xf>
    <xf numFmtId="0" fontId="64" fillId="5" borderId="136" xfId="4" applyFont="1" applyFill="1" applyBorder="1" applyAlignment="1">
      <alignment horizontal="center" vertical="center" wrapText="1"/>
    </xf>
    <xf numFmtId="6" fontId="64" fillId="4" borderId="135" xfId="4" applyNumberFormat="1" applyFont="1" applyFill="1" applyBorder="1" applyAlignment="1">
      <alignment horizontal="center" vertical="center" wrapText="1"/>
    </xf>
    <xf numFmtId="6" fontId="64" fillId="4" borderId="138" xfId="4" applyNumberFormat="1" applyFont="1" applyFill="1" applyBorder="1" applyAlignment="1">
      <alignment horizontal="center" vertical="center" wrapText="1"/>
    </xf>
    <xf numFmtId="165" fontId="64" fillId="4" borderId="135" xfId="4" applyNumberFormat="1" applyFont="1" applyFill="1" applyBorder="1" applyAlignment="1">
      <alignment horizontal="center" vertical="center" wrapText="1"/>
    </xf>
    <xf numFmtId="165" fontId="64" fillId="4" borderId="138" xfId="4" applyNumberFormat="1" applyFont="1" applyFill="1" applyBorder="1" applyAlignment="1">
      <alignment horizontal="center" vertical="center" wrapText="1"/>
    </xf>
    <xf numFmtId="0" fontId="64" fillId="4" borderId="135" xfId="4" applyFont="1" applyFill="1" applyBorder="1" applyAlignment="1">
      <alignment horizontal="center" vertical="center" wrapText="1"/>
    </xf>
    <xf numFmtId="0" fontId="64" fillId="4" borderId="138" xfId="4" applyFont="1" applyFill="1" applyBorder="1" applyAlignment="1">
      <alignment horizontal="center" vertical="center" wrapText="1"/>
    </xf>
    <xf numFmtId="0" fontId="17" fillId="4" borderId="136" xfId="4" applyFont="1" applyFill="1" applyBorder="1" applyAlignment="1">
      <alignment horizontal="center" vertical="center" wrapText="1"/>
    </xf>
    <xf numFmtId="0" fontId="17" fillId="4" borderId="136" xfId="4" applyFont="1" applyFill="1" applyBorder="1" applyAlignment="1">
      <alignment horizontal="center" vertical="center"/>
    </xf>
    <xf numFmtId="0" fontId="17" fillId="4" borderId="135" xfId="4" applyFont="1" applyFill="1" applyBorder="1" applyAlignment="1">
      <alignment horizontal="center" vertical="center" wrapText="1"/>
    </xf>
    <xf numFmtId="0" fontId="17" fillId="4" borderId="138" xfId="4" applyFont="1" applyFill="1" applyBorder="1" applyAlignment="1">
      <alignment horizontal="center" vertical="center" wrapText="1"/>
    </xf>
    <xf numFmtId="0" fontId="20" fillId="4" borderId="136" xfId="4" applyFont="1" applyFill="1" applyBorder="1" applyAlignment="1">
      <alignment horizontal="center" vertical="center" wrapText="1"/>
    </xf>
  </cellXfs>
  <cellStyles count="14">
    <cellStyle name="Comma" xfId="1" builtinId="3"/>
    <cellStyle name="Comma 2" xfId="11"/>
    <cellStyle name="Comma 3" xfId="8"/>
    <cellStyle name="Comma 4" xfId="5"/>
    <cellStyle name="Comma 5" xfId="6"/>
    <cellStyle name="Currency" xfId="2" builtinId="4"/>
    <cellStyle name="Currency 2" xfId="12"/>
    <cellStyle name="Currency 3" xfId="9"/>
    <cellStyle name="Normal" xfId="0" builtinId="0"/>
    <cellStyle name="Normal 2" xfId="4"/>
    <cellStyle name="Normal 3" xfId="13"/>
    <cellStyle name="Normal_Sheet1" xfId="10"/>
    <cellStyle name="Percent" xfId="3" builtinId="5"/>
    <cellStyle name="Percent 2" xfId="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8.xml"/><Relationship Id="rId42" Type="http://schemas.openxmlformats.org/officeDocument/2006/relationships/externalLink" Target="externalLinks/externalLink16.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externalLink" Target="externalLinks/externalLink12.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41"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externalLink" Target="externalLinks/externalLink14.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43" Type="http://schemas.openxmlformats.org/officeDocument/2006/relationships/externalLink" Target="externalLinks/externalLink1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louisianaschools.net/mf/EFS/MFPAdm/MFP%20Budget%20Letter/2011-2012/EDUJOBS%20in%20the%20MFP%20for%2011-12/Education%20Jobs%20Funds_FY2011-12_Feb%202012_2.1%20million_F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louisianaschools.net/mf/EFS/MFPAdm/MFP%20Budget%20Letter/2011-2012/Budget%20Letters/February%202012_EDUJOBS%20only/FY2011-12%20MFP%20Budget%20Letter_February%202012_emai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FS01\doe\mf\EFS\EDFIN_AC\Charters\2011-12\Per%20Pupil%20Calculations\Final%20Calculation_March%202012\FY2011-12%20Final%20Per%20Pupil%20Amounts_Type%201,2,3%20and%204%20Charter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louisianaschools.net/mf/EFS/MFPAdm/MFP%20Budget%20Letter/2011-2012/Student%20Data/OJJ/Preliminary%2010-11%20ADM%20for%2011-12%20MFP_July.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louisianaschools.net/mf/EFS/MFPAdm/MFP%20Budget%20Letter/2011-2012/Student%20Data/SIS/October%201,%202011/Oct%201,%202011%20MFP%20&amp;%20Funded%20Membership.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louisianaschools.net/mf/EFS/MFPAdm/MFP%20Budget%20Letter/2011-2012/Student%20Data/SIS/October%201,%202011/Oct%201,%202011%20MFP%20Funded%20Membership%20by%20School%20Location%20or%20Student%20Residence%20(Ver%202)_final.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ww.louisianaschools.net/mf/EFS/MFPAdm/MFP%20Budget%20Letter/2011-2012/Student%20Data/SIS/October%201,%202011/RSD%20Site-Level%20Oct%201,%202011%20MFP%20&amp;%20Funded%20Membership.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louisianaschools.net/mf/EFS/MFPAdm/MFP%20Budget%20Letter/2011-2012/Student%20Data/SIS/February%201,%202012/MFP%20Funded_Feb%201%202012%20MFP%20%20Other%20Funded%20Membership%20by%20School%20Location%20or%20Student%20Residence.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ww.louisianaschools.net/mf/EFS/MFPAdm/MFP%20Budget%20Letter/2011-2012/Student%20Data/SIS/February%201,%202012/Feb%201,%202012%20MFP%20&amp;%20Other%20Funded%20Membership%20by%20LEA%20&amp;%20Selected%20School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louisianaschools.net/mf/EFS/MFPAdm/MFP%20Budget%20Letter/2011-2012/Payments%20from%20Appr%20Control/February%202012_FY2011-12%20MFP%20Payment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louisianaschools.net/mf/EFS/MFPAdm/MFP%20Budget%20Letter/2011-2012/RSD%20Orleans%20Allocations/March%202012_February%20and%20March%20midyear%20adjustments/March_RSD%20ORLEANS%20ALLOCA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louisianaschools.net/lde/uploads/FY2011-12%20MFP%20Budget%20Letter_March%20midyear%202012_F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FS01\doe\mf\EFS\MFPAdm\MFP%20Budget%20Letter\2010-2011\Final%20Budget%20Letters\July%202010\FY2010-11%20MFP%20BUDGET%20LETTER_July%202010_Revised%202A%20and%20monthly%20OJJ.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FS01\doe\mf\EFS\MFPAdm\MFP%20Budget%20Letter\2009-2010\Final%20Budget%20Letter\July%202009\FY2009-10%20MFP%20BUDGET%20LETTER_JULY%202009_Revised%20RSD%20&amp;%20OPSB%20&amp;%20EB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louisianaschools.net/mf/EFS/MFPAdm/MFP%20Budget%20Letter/2011-2012/Budget%20Letters/February%202012_EDUJOBS%20only/FY2011-12%20MFP%20Budget%20Letter_February%20201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louisianaschools.net/mf/EFS/MFPAdm/MFP%20Budget%20Letter/2011-2012/Payments%20from%20Appr%20Control/January%202012_MFP%20Payments_adjusted.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FS01\doe\mf\EFS\EDFIN_AC\Charters\2011-12\Per%20Pupil%20Calculations\Final%20Calculation_March%202012\FY2011-12%20Final%20Per%20Pupil%20Amounts_Type%20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Y2011-12 EduJobs Program"/>
      <sheetName val="FY2010-11 MFP Stimulus Funds"/>
      <sheetName val="Procedures"/>
      <sheetName val="RSD - Orleans"/>
      <sheetName val="RSD - EBR"/>
      <sheetName val="RSD - Pointe Coupee"/>
      <sheetName val="RSD - Caddo"/>
      <sheetName val="RSD - St. Helena"/>
      <sheetName val="RSD %"/>
      <sheetName val="Sheet1"/>
    </sheetNames>
    <sheetDataSet>
      <sheetData sheetId="0">
        <row r="5">
          <cell r="C5">
            <v>33270</v>
          </cell>
        </row>
        <row r="6">
          <cell r="C6">
            <v>17916</v>
          </cell>
        </row>
        <row r="7">
          <cell r="C7">
            <v>58389</v>
          </cell>
        </row>
        <row r="8">
          <cell r="C8">
            <v>15077</v>
          </cell>
        </row>
        <row r="9">
          <cell r="C9">
            <v>20530</v>
          </cell>
        </row>
        <row r="10">
          <cell r="C10">
            <v>23666</v>
          </cell>
        </row>
        <row r="11">
          <cell r="C11">
            <v>3865</v>
          </cell>
        </row>
        <row r="12">
          <cell r="C12">
            <v>64233</v>
          </cell>
        </row>
        <row r="13">
          <cell r="C13">
            <v>134966</v>
          </cell>
        </row>
        <row r="14">
          <cell r="C14">
            <v>96397</v>
          </cell>
        </row>
        <row r="15">
          <cell r="C15">
            <v>7521</v>
          </cell>
        </row>
        <row r="16">
          <cell r="C16">
            <v>2381</v>
          </cell>
        </row>
        <row r="17">
          <cell r="C17">
            <v>6419</v>
          </cell>
        </row>
        <row r="18">
          <cell r="C18">
            <v>8716</v>
          </cell>
        </row>
        <row r="19">
          <cell r="C19">
            <v>14326</v>
          </cell>
        </row>
        <row r="20">
          <cell r="C20">
            <v>13381</v>
          </cell>
        </row>
        <row r="21">
          <cell r="C21">
            <v>105157</v>
          </cell>
        </row>
        <row r="22">
          <cell r="C22">
            <v>5015</v>
          </cell>
        </row>
        <row r="23">
          <cell r="C23">
            <v>7799</v>
          </cell>
        </row>
        <row r="24">
          <cell r="C24">
            <v>22335</v>
          </cell>
        </row>
        <row r="25">
          <cell r="C25">
            <v>11747</v>
          </cell>
        </row>
        <row r="26">
          <cell r="C26">
            <v>13581</v>
          </cell>
        </row>
        <row r="27">
          <cell r="C27">
            <v>47212</v>
          </cell>
        </row>
        <row r="28">
          <cell r="C28">
            <v>9930</v>
          </cell>
        </row>
        <row r="29">
          <cell r="C29">
            <v>6853</v>
          </cell>
        </row>
        <row r="30">
          <cell r="C30">
            <v>110948</v>
          </cell>
        </row>
        <row r="31">
          <cell r="C31">
            <v>23071</v>
          </cell>
        </row>
        <row r="32">
          <cell r="C32">
            <v>77065</v>
          </cell>
        </row>
        <row r="33">
          <cell r="C33">
            <v>43713</v>
          </cell>
        </row>
        <row r="34">
          <cell r="C34">
            <v>10311</v>
          </cell>
        </row>
        <row r="35">
          <cell r="C35">
            <v>19827</v>
          </cell>
        </row>
        <row r="36">
          <cell r="C36">
            <v>94166</v>
          </cell>
        </row>
        <row r="37">
          <cell r="C37">
            <v>8283</v>
          </cell>
        </row>
        <row r="38">
          <cell r="C38">
            <v>18057</v>
          </cell>
        </row>
        <row r="39">
          <cell r="C39">
            <v>23294</v>
          </cell>
        </row>
        <row r="40">
          <cell r="C40">
            <v>26059</v>
          </cell>
        </row>
        <row r="41">
          <cell r="C41">
            <v>75614</v>
          </cell>
        </row>
        <row r="42">
          <cell r="C42">
            <v>8078</v>
          </cell>
        </row>
        <row r="43">
          <cell r="C43">
            <v>7163</v>
          </cell>
        </row>
        <row r="44">
          <cell r="C44">
            <v>80131</v>
          </cell>
        </row>
        <row r="45">
          <cell r="C45">
            <v>6358</v>
          </cell>
        </row>
        <row r="46">
          <cell r="C46">
            <v>13398</v>
          </cell>
        </row>
        <row r="47">
          <cell r="C47">
            <v>16612</v>
          </cell>
        </row>
        <row r="48">
          <cell r="C48">
            <v>18289</v>
          </cell>
        </row>
        <row r="49">
          <cell r="C49">
            <v>19220</v>
          </cell>
        </row>
        <row r="50">
          <cell r="C50">
            <v>3093</v>
          </cell>
        </row>
        <row r="51">
          <cell r="C51">
            <v>11131</v>
          </cell>
        </row>
        <row r="52">
          <cell r="C52">
            <v>17594</v>
          </cell>
        </row>
        <row r="53">
          <cell r="C53">
            <v>49510</v>
          </cell>
        </row>
        <row r="54">
          <cell r="C54">
            <v>30649</v>
          </cell>
        </row>
        <row r="55">
          <cell r="C55">
            <v>31351</v>
          </cell>
        </row>
        <row r="56">
          <cell r="C56">
            <v>133225</v>
          </cell>
        </row>
        <row r="57">
          <cell r="C57">
            <v>66713</v>
          </cell>
        </row>
        <row r="58">
          <cell r="C58">
            <v>2853</v>
          </cell>
        </row>
        <row r="59">
          <cell r="C59">
            <v>55036</v>
          </cell>
        </row>
        <row r="60">
          <cell r="C60">
            <v>9631</v>
          </cell>
        </row>
        <row r="61">
          <cell r="C61">
            <v>26855</v>
          </cell>
        </row>
        <row r="62">
          <cell r="C62">
            <v>36341</v>
          </cell>
        </row>
        <row r="63">
          <cell r="C63">
            <v>22908</v>
          </cell>
        </row>
        <row r="64">
          <cell r="C64">
            <v>24248</v>
          </cell>
        </row>
        <row r="65">
          <cell r="C65">
            <v>8104</v>
          </cell>
        </row>
        <row r="66">
          <cell r="C66">
            <v>8336</v>
          </cell>
        </row>
        <row r="67">
          <cell r="C67">
            <v>7193</v>
          </cell>
        </row>
        <row r="68">
          <cell r="C68">
            <v>10013</v>
          </cell>
        </row>
        <row r="69">
          <cell r="C69">
            <v>28538</v>
          </cell>
        </row>
        <row r="70">
          <cell r="C70">
            <v>9359</v>
          </cell>
        </row>
        <row r="71">
          <cell r="C71">
            <v>18099</v>
          </cell>
        </row>
        <row r="72">
          <cell r="C72">
            <v>7916</v>
          </cell>
        </row>
        <row r="73">
          <cell r="C73">
            <v>15546</v>
          </cell>
        </row>
      </sheetData>
      <sheetData sheetId="1"/>
      <sheetData sheetId="2"/>
      <sheetData sheetId="3">
        <row r="7">
          <cell r="C7">
            <v>21311</v>
          </cell>
        </row>
      </sheetData>
      <sheetData sheetId="4"/>
      <sheetData sheetId="5"/>
      <sheetData sheetId="6"/>
      <sheetData sheetId="7"/>
      <sheetData sheetId="8"/>
      <sheetData sheetId="9"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ble 1 State Summary "/>
      <sheetName val="Table 2 Distributions &amp; Adjust"/>
      <sheetName val="Table 2A EFTs"/>
      <sheetName val="Table 5B1_RSD_Orleans"/>
      <sheetName val="Table 5A1 Labs NOCCA LSMSA"/>
      <sheetName val="Table 5B2_RSD_LA"/>
      <sheetName val="Table 5C1 - Type 2s"/>
      <sheetName val="Table 5C3 - LA Connections  "/>
      <sheetName val="Table 5C2 - LA Virtual Admy "/>
      <sheetName val="Table 5D - Legacy Type 2"/>
      <sheetName val="Table 5E_OJJ"/>
      <sheetName val="Table 3 Levels 1&amp;2"/>
      <sheetName val="Table 4 Level 3"/>
      <sheetName val="Table 4A Stipends"/>
      <sheetName val="Table 6 (Local Deduct Calc.)"/>
      <sheetName val="Table 7 Local Revenue"/>
      <sheetName val="Table 8   2-1-10 Membership"/>
    </sheetNames>
    <sheetDataSet>
      <sheetData sheetId="0" refreshError="1"/>
      <sheetData sheetId="1" refreshError="1"/>
      <sheetData sheetId="2" refreshError="1"/>
      <sheetData sheetId="3" refreshError="1"/>
      <sheetData sheetId="4" refreshError="1"/>
      <sheetData sheetId="5" refreshError="1"/>
      <sheetData sheetId="6">
        <row r="6">
          <cell r="Q6">
            <v>-470</v>
          </cell>
        </row>
        <row r="23">
          <cell r="Q23">
            <v>-1150</v>
          </cell>
        </row>
        <row r="40">
          <cell r="Q40">
            <v>-451</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rocedures"/>
      <sheetName val="FY2011-12_Final"/>
      <sheetName val="Detail Calculation exclude debt"/>
      <sheetName val="Detail Calculation for debt"/>
      <sheetName val="Detail"/>
      <sheetName val="10-1-11 SIS"/>
      <sheetName val="AFR Revenues"/>
      <sheetName val="AFR Expenditures"/>
    </sheetNames>
    <sheetDataSet>
      <sheetData sheetId="0"/>
      <sheetData sheetId="1">
        <row r="8">
          <cell r="K8">
            <v>2027</v>
          </cell>
        </row>
        <row r="9">
          <cell r="K9">
            <v>2565</v>
          </cell>
        </row>
        <row r="10">
          <cell r="K10">
            <v>4601</v>
          </cell>
        </row>
        <row r="11">
          <cell r="K11">
            <v>3195</v>
          </cell>
        </row>
        <row r="12">
          <cell r="K12">
            <v>1289</v>
          </cell>
          <cell r="L12">
            <v>6169.7330578848678</v>
          </cell>
        </row>
        <row r="13">
          <cell r="K13">
            <v>3063</v>
          </cell>
        </row>
        <row r="14">
          <cell r="K14">
            <v>12609</v>
          </cell>
        </row>
        <row r="15">
          <cell r="K15">
            <v>4287</v>
          </cell>
        </row>
        <row r="16">
          <cell r="K16">
            <v>4580</v>
          </cell>
        </row>
        <row r="17">
          <cell r="K17">
            <v>4163</v>
          </cell>
        </row>
        <row r="18">
          <cell r="K18">
            <v>3298</v>
          </cell>
        </row>
        <row r="19">
          <cell r="K19">
            <v>11091</v>
          </cell>
        </row>
        <row r="20">
          <cell r="K20">
            <v>2407</v>
          </cell>
        </row>
        <row r="21">
          <cell r="K21">
            <v>3352</v>
          </cell>
        </row>
        <row r="22">
          <cell r="K22">
            <v>2550</v>
          </cell>
        </row>
        <row r="23">
          <cell r="K23">
            <v>19676</v>
          </cell>
        </row>
        <row r="24">
          <cell r="K24">
            <v>6246</v>
          </cell>
        </row>
        <row r="25">
          <cell r="K25">
            <v>1879</v>
          </cell>
        </row>
        <row r="26">
          <cell r="K26">
            <v>2247</v>
          </cell>
        </row>
        <row r="27">
          <cell r="K27">
            <v>2158</v>
          </cell>
        </row>
        <row r="28">
          <cell r="K28">
            <v>2066</v>
          </cell>
        </row>
        <row r="29">
          <cell r="K29">
            <v>1429</v>
          </cell>
        </row>
        <row r="30">
          <cell r="K30">
            <v>3069</v>
          </cell>
        </row>
        <row r="31">
          <cell r="K31">
            <v>9326</v>
          </cell>
        </row>
        <row r="32">
          <cell r="K32">
            <v>5035</v>
          </cell>
        </row>
        <row r="33">
          <cell r="D33">
            <v>4648</v>
          </cell>
          <cell r="K33">
            <v>5258</v>
          </cell>
        </row>
        <row r="34">
          <cell r="K34">
            <v>2953</v>
          </cell>
        </row>
        <row r="35">
          <cell r="K35">
            <v>5034</v>
          </cell>
        </row>
        <row r="36">
          <cell r="K36">
            <v>4410</v>
          </cell>
          <cell r="L36">
            <v>8609.8161124471389</v>
          </cell>
        </row>
        <row r="37">
          <cell r="K37">
            <v>3537</v>
          </cell>
        </row>
        <row r="38">
          <cell r="K38">
            <v>4677</v>
          </cell>
        </row>
        <row r="39">
          <cell r="K39">
            <v>1875</v>
          </cell>
        </row>
        <row r="40">
          <cell r="K40">
            <v>3045</v>
          </cell>
        </row>
        <row r="41">
          <cell r="K41">
            <v>2703</v>
          </cell>
        </row>
        <row r="42">
          <cell r="K42">
            <v>3148</v>
          </cell>
        </row>
        <row r="43">
          <cell r="D43">
            <v>4207</v>
          </cell>
          <cell r="E43">
            <v>7459.0270959716217</v>
          </cell>
          <cell r="K43">
            <v>4851</v>
          </cell>
          <cell r="L43">
            <v>8103.0270959716217</v>
          </cell>
        </row>
        <row r="44">
          <cell r="K44">
            <v>3030</v>
          </cell>
        </row>
        <row r="45">
          <cell r="D45">
            <v>11424</v>
          </cell>
          <cell r="K45">
            <v>11424</v>
          </cell>
          <cell r="L45">
            <v>13820.558275214593</v>
          </cell>
        </row>
        <row r="46">
          <cell r="K46">
            <v>3978</v>
          </cell>
        </row>
        <row r="47">
          <cell r="K47">
            <v>2828</v>
          </cell>
        </row>
        <row r="48">
          <cell r="K48">
            <v>17295</v>
          </cell>
        </row>
        <row r="49">
          <cell r="K49">
            <v>2988</v>
          </cell>
          <cell r="L49">
            <v>8489.0856550306853</v>
          </cell>
        </row>
        <row r="50">
          <cell r="K50">
            <v>5324</v>
          </cell>
        </row>
        <row r="51">
          <cell r="D51">
            <v>4700</v>
          </cell>
          <cell r="K51">
            <v>5173</v>
          </cell>
        </row>
        <row r="52">
          <cell r="D52">
            <v>9563</v>
          </cell>
          <cell r="K52">
            <v>10770</v>
          </cell>
        </row>
        <row r="53">
          <cell r="K53">
            <v>1766</v>
          </cell>
        </row>
        <row r="54">
          <cell r="K54">
            <v>9755</v>
          </cell>
        </row>
        <row r="55">
          <cell r="D55">
            <v>4151</v>
          </cell>
          <cell r="K55">
            <v>5136</v>
          </cell>
        </row>
        <row r="56">
          <cell r="K56">
            <v>2235</v>
          </cell>
        </row>
        <row r="57">
          <cell r="K57">
            <v>2534</v>
          </cell>
        </row>
        <row r="58">
          <cell r="K58">
            <v>4042</v>
          </cell>
          <cell r="L58">
            <v>8580.5765423983976</v>
          </cell>
        </row>
        <row r="59">
          <cell r="D59">
            <v>3984</v>
          </cell>
          <cell r="K59">
            <v>4822</v>
          </cell>
        </row>
        <row r="60">
          <cell r="K60">
            <v>1918</v>
          </cell>
        </row>
        <row r="61">
          <cell r="K61">
            <v>2951</v>
          </cell>
        </row>
        <row r="62">
          <cell r="K62">
            <v>3022</v>
          </cell>
        </row>
        <row r="63">
          <cell r="K63">
            <v>2905</v>
          </cell>
        </row>
        <row r="64">
          <cell r="K64">
            <v>3035</v>
          </cell>
        </row>
        <row r="65">
          <cell r="K65">
            <v>1749</v>
          </cell>
        </row>
        <row r="66">
          <cell r="K66">
            <v>1644</v>
          </cell>
        </row>
        <row r="67">
          <cell r="K67">
            <v>3858</v>
          </cell>
        </row>
        <row r="68">
          <cell r="K68">
            <v>6045</v>
          </cell>
        </row>
        <row r="69">
          <cell r="K69">
            <v>1681</v>
          </cell>
        </row>
        <row r="70">
          <cell r="K70">
            <v>6981</v>
          </cell>
        </row>
        <row r="71">
          <cell r="K71">
            <v>2598</v>
          </cell>
        </row>
        <row r="72">
          <cell r="K72">
            <v>4675</v>
          </cell>
          <cell r="L72">
            <v>9184.0445072868661</v>
          </cell>
        </row>
        <row r="73">
          <cell r="K73">
            <v>3428</v>
          </cell>
        </row>
        <row r="74">
          <cell r="K74">
            <v>4358</v>
          </cell>
        </row>
        <row r="75">
          <cell r="K75">
            <v>2900</v>
          </cell>
        </row>
        <row r="76">
          <cell r="K76">
            <v>3312</v>
          </cell>
        </row>
      </sheetData>
      <sheetData sheetId="2"/>
      <sheetData sheetId="3"/>
      <sheetData sheetId="4"/>
      <sheetData sheetId="5"/>
      <sheetData sheetId="6"/>
      <sheetData sheetId="7"/>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Roster"/>
      <sheetName val="Summary by Parish"/>
      <sheetName val="Sheet3"/>
    </sheetNames>
    <sheetDataSet>
      <sheetData sheetId="0"/>
      <sheetData sheetId="1">
        <row r="7">
          <cell r="E7">
            <v>1.4683200000000001</v>
          </cell>
        </row>
        <row r="8">
          <cell r="E8">
            <v>0</v>
          </cell>
        </row>
        <row r="9">
          <cell r="E9">
            <v>1.056</v>
          </cell>
        </row>
        <row r="10">
          <cell r="E10">
            <v>2.3982039999999998</v>
          </cell>
        </row>
        <row r="11">
          <cell r="E11">
            <v>6.4742829999999998</v>
          </cell>
        </row>
        <row r="12">
          <cell r="E12">
            <v>1.1776009999999999</v>
          </cell>
        </row>
        <row r="13">
          <cell r="E13">
            <v>0.25905299999999998</v>
          </cell>
        </row>
        <row r="14">
          <cell r="E14">
            <v>1.1160000000000001</v>
          </cell>
        </row>
        <row r="15">
          <cell r="E15">
            <v>35.732145000000003</v>
          </cell>
        </row>
        <row r="16">
          <cell r="E16">
            <v>5.0043819999999997</v>
          </cell>
        </row>
        <row r="17">
          <cell r="E17">
            <v>0</v>
          </cell>
        </row>
        <row r="18">
          <cell r="E18">
            <v>0</v>
          </cell>
        </row>
        <row r="19">
          <cell r="E19">
            <v>0</v>
          </cell>
        </row>
        <row r="20">
          <cell r="E20">
            <v>0.22562699999999999</v>
          </cell>
        </row>
        <row r="21">
          <cell r="E21">
            <v>1.0974930000000001</v>
          </cell>
        </row>
        <row r="22">
          <cell r="E22">
            <v>3.0294940000000001</v>
          </cell>
        </row>
        <row r="23">
          <cell r="E23">
            <v>39.806348999999997</v>
          </cell>
        </row>
        <row r="24">
          <cell r="E24">
            <v>3.948747</v>
          </cell>
        </row>
        <row r="25">
          <cell r="E25">
            <v>0.47386200000000001</v>
          </cell>
        </row>
        <row r="26">
          <cell r="E26">
            <v>6.8221930000000004</v>
          </cell>
        </row>
        <row r="27">
          <cell r="E27">
            <v>7.6798890000000002</v>
          </cell>
        </row>
        <row r="28">
          <cell r="E28">
            <v>0.27600000000000002</v>
          </cell>
        </row>
        <row r="29">
          <cell r="E29">
            <v>7.0398649999999998</v>
          </cell>
        </row>
        <row r="30">
          <cell r="E30">
            <v>4.9623140000000001</v>
          </cell>
        </row>
        <row r="31">
          <cell r="E31">
            <v>0</v>
          </cell>
        </row>
        <row r="32">
          <cell r="E32">
            <v>36.898733999999997</v>
          </cell>
        </row>
        <row r="33">
          <cell r="E33">
            <v>0.32</v>
          </cell>
        </row>
        <row r="34">
          <cell r="E34">
            <v>6.9549709999999996</v>
          </cell>
        </row>
        <row r="35">
          <cell r="E35">
            <v>16.490998000000001</v>
          </cell>
        </row>
        <row r="36">
          <cell r="E36">
            <v>0</v>
          </cell>
        </row>
        <row r="37">
          <cell r="E37">
            <v>2.799042</v>
          </cell>
        </row>
        <row r="38">
          <cell r="E38">
            <v>1.4741550000000001</v>
          </cell>
        </row>
        <row r="39">
          <cell r="E39">
            <v>3.483276</v>
          </cell>
        </row>
        <row r="40">
          <cell r="E40">
            <v>0</v>
          </cell>
        </row>
        <row r="41">
          <cell r="E41">
            <v>2.7474989999999999</v>
          </cell>
        </row>
        <row r="42">
          <cell r="E42">
            <v>35.017254999999999</v>
          </cell>
        </row>
        <row r="43">
          <cell r="E43">
            <v>2.651176</v>
          </cell>
        </row>
        <row r="44">
          <cell r="E44">
            <v>0</v>
          </cell>
        </row>
        <row r="45">
          <cell r="E45">
            <v>0.91922000000000004</v>
          </cell>
        </row>
        <row r="46">
          <cell r="E46">
            <v>4.936909</v>
          </cell>
        </row>
        <row r="47">
          <cell r="E47">
            <v>1.158774</v>
          </cell>
        </row>
        <row r="48">
          <cell r="E48">
            <v>5.8471970000000004</v>
          </cell>
        </row>
        <row r="49">
          <cell r="E49">
            <v>3.0531359999999999</v>
          </cell>
        </row>
        <row r="50">
          <cell r="E50">
            <v>1.3972599999999999</v>
          </cell>
        </row>
        <row r="51">
          <cell r="E51">
            <v>1.9552989999999999</v>
          </cell>
        </row>
        <row r="52">
          <cell r="E52">
            <v>0</v>
          </cell>
        </row>
        <row r="53">
          <cell r="E53">
            <v>0</v>
          </cell>
        </row>
        <row r="54">
          <cell r="E54">
            <v>1.2452920000000001</v>
          </cell>
        </row>
        <row r="55">
          <cell r="E55">
            <v>6.3351879999999996</v>
          </cell>
        </row>
        <row r="56">
          <cell r="E56">
            <v>6.0297140000000002</v>
          </cell>
        </row>
        <row r="57">
          <cell r="E57">
            <v>3.476378</v>
          </cell>
        </row>
        <row r="58">
          <cell r="E58">
            <v>11.890036</v>
          </cell>
        </row>
        <row r="59">
          <cell r="E59">
            <v>6.9142640000000002</v>
          </cell>
        </row>
        <row r="60">
          <cell r="E60">
            <v>0.83989899999999995</v>
          </cell>
        </row>
        <row r="61">
          <cell r="E61">
            <v>9.2746729999999999</v>
          </cell>
        </row>
        <row r="62">
          <cell r="E62">
            <v>0</v>
          </cell>
        </row>
        <row r="63">
          <cell r="E63">
            <v>3.5629149999999998</v>
          </cell>
        </row>
        <row r="64">
          <cell r="E64">
            <v>2.2962449999999999</v>
          </cell>
        </row>
        <row r="65">
          <cell r="E65">
            <v>2.3013699999999999</v>
          </cell>
        </row>
        <row r="66">
          <cell r="E66">
            <v>1.200501</v>
          </cell>
        </row>
        <row r="67">
          <cell r="E67">
            <v>7.6846269999999999</v>
          </cell>
        </row>
        <row r="68">
          <cell r="E68">
            <v>0.99442900000000001</v>
          </cell>
        </row>
        <row r="69">
          <cell r="E69">
            <v>1.994429</v>
          </cell>
        </row>
        <row r="70">
          <cell r="E70">
            <v>0</v>
          </cell>
        </row>
        <row r="71">
          <cell r="E71">
            <v>2.7040000000000002</v>
          </cell>
        </row>
        <row r="72">
          <cell r="E72">
            <v>2.9558900000000001</v>
          </cell>
        </row>
        <row r="73">
          <cell r="E73">
            <v>0.47199999999999998</v>
          </cell>
        </row>
        <row r="74">
          <cell r="E74">
            <v>0</v>
          </cell>
        </row>
        <row r="75">
          <cell r="E75">
            <v>0</v>
          </cell>
        </row>
      </sheetData>
      <sheetData sheetId="2"/>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1_MFP &amp; Funded Membership"/>
    </sheetNames>
    <sheetDataSet>
      <sheetData sheetId="0">
        <row r="9">
          <cell r="U9">
            <v>9391</v>
          </cell>
        </row>
        <row r="10">
          <cell r="U10">
            <v>4054</v>
          </cell>
        </row>
        <row r="11">
          <cell r="U11">
            <v>20060</v>
          </cell>
        </row>
        <row r="12">
          <cell r="U12">
            <v>3538</v>
          </cell>
        </row>
        <row r="13">
          <cell r="U13">
            <v>5726</v>
          </cell>
        </row>
        <row r="14">
          <cell r="U14">
            <v>5984</v>
          </cell>
        </row>
        <row r="15">
          <cell r="U15">
            <v>2218</v>
          </cell>
        </row>
        <row r="16">
          <cell r="U16">
            <v>20835</v>
          </cell>
        </row>
        <row r="17">
          <cell r="U17">
            <v>40724</v>
          </cell>
        </row>
        <row r="18">
          <cell r="U18">
            <v>31029</v>
          </cell>
        </row>
        <row r="19">
          <cell r="U19">
            <v>1560</v>
          </cell>
        </row>
        <row r="20">
          <cell r="U20">
            <v>1267</v>
          </cell>
        </row>
        <row r="21">
          <cell r="U21">
            <v>1521</v>
          </cell>
        </row>
        <row r="22">
          <cell r="U22">
            <v>1982</v>
          </cell>
        </row>
        <row r="23">
          <cell r="U23">
            <v>3643</v>
          </cell>
        </row>
        <row r="24">
          <cell r="U24">
            <v>4776</v>
          </cell>
        </row>
        <row r="25">
          <cell r="U25">
            <v>41233</v>
          </cell>
        </row>
        <row r="26">
          <cell r="U26">
            <v>1153</v>
          </cell>
        </row>
        <row r="27">
          <cell r="U27">
            <v>1960</v>
          </cell>
        </row>
        <row r="28">
          <cell r="U28">
            <v>5806</v>
          </cell>
        </row>
        <row r="29">
          <cell r="U29">
            <v>2945</v>
          </cell>
        </row>
        <row r="30">
          <cell r="U30">
            <v>3274</v>
          </cell>
        </row>
        <row r="31">
          <cell r="U31">
            <v>13350</v>
          </cell>
        </row>
        <row r="32">
          <cell r="U32">
            <v>4479</v>
          </cell>
        </row>
        <row r="33">
          <cell r="U33">
            <v>2216</v>
          </cell>
        </row>
        <row r="34">
          <cell r="U34">
            <v>43828</v>
          </cell>
        </row>
        <row r="35">
          <cell r="U35">
            <v>5577</v>
          </cell>
        </row>
        <row r="36">
          <cell r="U36">
            <v>29869</v>
          </cell>
        </row>
        <row r="37">
          <cell r="U37">
            <v>13652</v>
          </cell>
        </row>
        <row r="38">
          <cell r="U38">
            <v>2472</v>
          </cell>
        </row>
        <row r="39">
          <cell r="U39">
            <v>6454</v>
          </cell>
        </row>
        <row r="40">
          <cell r="U40">
            <v>24422</v>
          </cell>
        </row>
        <row r="41">
          <cell r="U41">
            <v>1842</v>
          </cell>
        </row>
        <row r="42">
          <cell r="U42">
            <v>4333</v>
          </cell>
        </row>
        <row r="43">
          <cell r="U43">
            <v>6459</v>
          </cell>
        </row>
        <row r="44">
          <cell r="U44">
            <v>10662</v>
          </cell>
        </row>
        <row r="45">
          <cell r="U45">
            <v>19271</v>
          </cell>
        </row>
        <row r="46">
          <cell r="U46">
            <v>3749</v>
          </cell>
        </row>
        <row r="47">
          <cell r="U47">
            <v>2593</v>
          </cell>
        </row>
        <row r="48">
          <cell r="U48">
            <v>23074</v>
          </cell>
        </row>
        <row r="49">
          <cell r="U49">
            <v>1410</v>
          </cell>
        </row>
        <row r="50">
          <cell r="U50">
            <v>3394</v>
          </cell>
        </row>
        <row r="51">
          <cell r="U51">
            <v>3956</v>
          </cell>
        </row>
        <row r="52">
          <cell r="U52">
            <v>5804</v>
          </cell>
        </row>
        <row r="53">
          <cell r="U53">
            <v>9495</v>
          </cell>
        </row>
        <row r="54">
          <cell r="U54">
            <v>755</v>
          </cell>
        </row>
        <row r="55">
          <cell r="U55">
            <v>3659</v>
          </cell>
        </row>
        <row r="56">
          <cell r="U56">
            <v>6147</v>
          </cell>
        </row>
        <row r="57">
          <cell r="U57">
            <v>14412</v>
          </cell>
        </row>
        <row r="58">
          <cell r="U58">
            <v>8105</v>
          </cell>
        </row>
        <row r="59">
          <cell r="U59">
            <v>9106</v>
          </cell>
        </row>
        <row r="60">
          <cell r="U60">
            <v>36605</v>
          </cell>
        </row>
        <row r="61">
          <cell r="U61">
            <v>18927</v>
          </cell>
        </row>
        <row r="62">
          <cell r="U62">
            <v>708</v>
          </cell>
        </row>
        <row r="63">
          <cell r="U63">
            <v>17756</v>
          </cell>
        </row>
        <row r="64">
          <cell r="U64">
            <v>2504</v>
          </cell>
        </row>
        <row r="65">
          <cell r="U65">
            <v>8859</v>
          </cell>
        </row>
        <row r="66">
          <cell r="U66">
            <v>9496</v>
          </cell>
        </row>
        <row r="67">
          <cell r="U67">
            <v>5170</v>
          </cell>
        </row>
        <row r="68">
          <cell r="U68">
            <v>6504</v>
          </cell>
        </row>
        <row r="69">
          <cell r="U69">
            <v>3574</v>
          </cell>
        </row>
        <row r="70">
          <cell r="U70">
            <v>2091</v>
          </cell>
        </row>
        <row r="71">
          <cell r="U71">
            <v>2034</v>
          </cell>
        </row>
        <row r="72">
          <cell r="U72">
            <v>2423</v>
          </cell>
        </row>
        <row r="73">
          <cell r="U73">
            <v>8463</v>
          </cell>
        </row>
        <row r="74">
          <cell r="U74">
            <v>2069</v>
          </cell>
        </row>
        <row r="75">
          <cell r="U75">
            <v>5066</v>
          </cell>
        </row>
        <row r="76">
          <cell r="U76">
            <v>1734</v>
          </cell>
        </row>
        <row r="77">
          <cell r="U77">
            <v>3954</v>
          </cell>
        </row>
        <row r="90">
          <cell r="U90">
            <v>1359</v>
          </cell>
        </row>
        <row r="91">
          <cell r="U91">
            <v>289</v>
          </cell>
        </row>
        <row r="104">
          <cell r="U104">
            <v>341</v>
          </cell>
        </row>
        <row r="105">
          <cell r="U105">
            <v>367</v>
          </cell>
        </row>
        <row r="106">
          <cell r="U106">
            <v>627</v>
          </cell>
        </row>
        <row r="107">
          <cell r="U107">
            <v>697</v>
          </cell>
        </row>
        <row r="108">
          <cell r="U108">
            <v>653</v>
          </cell>
        </row>
        <row r="109">
          <cell r="U109">
            <v>942</v>
          </cell>
        </row>
        <row r="110">
          <cell r="U110">
            <v>395</v>
          </cell>
        </row>
        <row r="111">
          <cell r="U111">
            <v>103</v>
          </cell>
        </row>
        <row r="116">
          <cell r="U116">
            <v>625</v>
          </cell>
        </row>
        <row r="179">
          <cell r="U179">
            <v>314</v>
          </cell>
        </row>
        <row r="182">
          <cell r="U182">
            <v>56</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1"/>
    </sheetNames>
    <sheetDataSet>
      <sheetData sheetId="0">
        <row r="5">
          <cell r="I5">
            <v>27</v>
          </cell>
          <cell r="K5">
            <v>10</v>
          </cell>
        </row>
        <row r="6">
          <cell r="I6">
            <v>12</v>
          </cell>
          <cell r="K6">
            <v>2</v>
          </cell>
        </row>
        <row r="7">
          <cell r="I7">
            <v>27</v>
          </cell>
          <cell r="K7">
            <v>12</v>
          </cell>
        </row>
        <row r="8">
          <cell r="I8">
            <v>2</v>
          </cell>
          <cell r="K8">
            <v>4</v>
          </cell>
        </row>
        <row r="9">
          <cell r="I9">
            <v>17</v>
          </cell>
          <cell r="K9">
            <v>5</v>
          </cell>
        </row>
        <row r="10">
          <cell r="I10">
            <v>18</v>
          </cell>
          <cell r="K10">
            <v>3</v>
          </cell>
        </row>
        <row r="11">
          <cell r="I11">
            <v>5</v>
          </cell>
          <cell r="K11">
            <v>5</v>
          </cell>
        </row>
        <row r="12">
          <cell r="I12">
            <v>55</v>
          </cell>
          <cell r="K12">
            <v>16</v>
          </cell>
        </row>
        <row r="13">
          <cell r="I13">
            <v>98</v>
          </cell>
          <cell r="K13">
            <v>37</v>
          </cell>
        </row>
        <row r="14">
          <cell r="I14">
            <v>63</v>
          </cell>
          <cell r="K14">
            <v>28</v>
          </cell>
        </row>
        <row r="15">
          <cell r="I15">
            <v>3</v>
          </cell>
          <cell r="K15">
            <v>0</v>
          </cell>
        </row>
        <row r="16">
          <cell r="I16">
            <v>0</v>
          </cell>
          <cell r="K16">
            <v>2</v>
          </cell>
        </row>
        <row r="17">
          <cell r="I17">
            <v>8</v>
          </cell>
          <cell r="K17">
            <v>2</v>
          </cell>
        </row>
        <row r="18">
          <cell r="I18">
            <v>4</v>
          </cell>
          <cell r="K18">
            <v>7</v>
          </cell>
        </row>
        <row r="19">
          <cell r="I19">
            <v>3</v>
          </cell>
          <cell r="K19">
            <v>1</v>
          </cell>
        </row>
        <row r="20">
          <cell r="I20">
            <v>16</v>
          </cell>
          <cell r="K20">
            <v>1</v>
          </cell>
        </row>
        <row r="21">
          <cell r="H21">
            <v>204</v>
          </cell>
          <cell r="I21">
            <v>80</v>
          </cell>
          <cell r="K21">
            <v>54</v>
          </cell>
        </row>
        <row r="22">
          <cell r="I22">
            <v>1</v>
          </cell>
          <cell r="K22">
            <v>0</v>
          </cell>
        </row>
        <row r="23">
          <cell r="I23">
            <v>7</v>
          </cell>
          <cell r="K23">
            <v>4</v>
          </cell>
        </row>
        <row r="24">
          <cell r="I24">
            <v>4</v>
          </cell>
          <cell r="K24">
            <v>1</v>
          </cell>
        </row>
        <row r="25">
          <cell r="I25">
            <v>0</v>
          </cell>
          <cell r="K25">
            <v>7</v>
          </cell>
        </row>
        <row r="26">
          <cell r="I26">
            <v>1</v>
          </cell>
          <cell r="K26">
            <v>10</v>
          </cell>
        </row>
        <row r="27">
          <cell r="I27">
            <v>7</v>
          </cell>
          <cell r="K27">
            <v>5</v>
          </cell>
        </row>
        <row r="28">
          <cell r="I28">
            <v>5</v>
          </cell>
          <cell r="K28">
            <v>1</v>
          </cell>
        </row>
        <row r="29">
          <cell r="I29">
            <v>12</v>
          </cell>
          <cell r="K29">
            <v>0</v>
          </cell>
        </row>
        <row r="30">
          <cell r="I30">
            <v>89</v>
          </cell>
          <cell r="J30">
            <v>27</v>
          </cell>
          <cell r="K30">
            <v>41</v>
          </cell>
          <cell r="M30">
            <v>10</v>
          </cell>
          <cell r="N30">
            <v>50</v>
          </cell>
        </row>
        <row r="31">
          <cell r="I31">
            <v>2</v>
          </cell>
          <cell r="K31">
            <v>0</v>
          </cell>
        </row>
        <row r="32">
          <cell r="I32">
            <v>57</v>
          </cell>
          <cell r="K32">
            <v>22</v>
          </cell>
        </row>
        <row r="33">
          <cell r="I33">
            <v>21</v>
          </cell>
          <cell r="K33">
            <v>7</v>
          </cell>
        </row>
        <row r="34">
          <cell r="I34">
            <v>3</v>
          </cell>
          <cell r="K34">
            <v>3</v>
          </cell>
        </row>
        <row r="35">
          <cell r="G35">
            <v>2</v>
          </cell>
          <cell r="I35">
            <v>4</v>
          </cell>
          <cell r="K35">
            <v>4</v>
          </cell>
        </row>
        <row r="36">
          <cell r="I36">
            <v>35</v>
          </cell>
          <cell r="K36">
            <v>33</v>
          </cell>
        </row>
        <row r="37">
          <cell r="I37">
            <v>3</v>
          </cell>
          <cell r="K37">
            <v>2</v>
          </cell>
        </row>
        <row r="38">
          <cell r="I38">
            <v>15</v>
          </cell>
          <cell r="K38">
            <v>2</v>
          </cell>
        </row>
        <row r="39">
          <cell r="I39">
            <v>11</v>
          </cell>
          <cell r="K39">
            <v>11</v>
          </cell>
        </row>
        <row r="40">
          <cell r="I40">
            <v>81</v>
          </cell>
          <cell r="J40">
            <v>264</v>
          </cell>
          <cell r="K40">
            <v>14</v>
          </cell>
          <cell r="M40">
            <v>43</v>
          </cell>
          <cell r="N40">
            <v>52</v>
          </cell>
        </row>
        <row r="41">
          <cell r="G41">
            <v>2</v>
          </cell>
          <cell r="I41">
            <v>18</v>
          </cell>
          <cell r="K41">
            <v>16</v>
          </cell>
        </row>
        <row r="42">
          <cell r="I42">
            <v>5</v>
          </cell>
          <cell r="K42">
            <v>0</v>
          </cell>
        </row>
        <row r="43">
          <cell r="I43">
            <v>9</v>
          </cell>
          <cell r="K43">
            <v>6</v>
          </cell>
        </row>
        <row r="44">
          <cell r="I44">
            <v>31</v>
          </cell>
          <cell r="K44">
            <v>26</v>
          </cell>
        </row>
        <row r="45">
          <cell r="I45">
            <v>3</v>
          </cell>
          <cell r="K45">
            <v>1</v>
          </cell>
        </row>
        <row r="46">
          <cell r="I46">
            <v>13</v>
          </cell>
          <cell r="K46">
            <v>0</v>
          </cell>
        </row>
        <row r="47">
          <cell r="I47">
            <v>14</v>
          </cell>
          <cell r="K47">
            <v>7</v>
          </cell>
        </row>
        <row r="48">
          <cell r="I48">
            <v>5</v>
          </cell>
          <cell r="J48">
            <v>1</v>
          </cell>
          <cell r="K48">
            <v>5</v>
          </cell>
        </row>
        <row r="49">
          <cell r="I49">
            <v>2</v>
          </cell>
          <cell r="J49">
            <v>1</v>
          </cell>
          <cell r="K49">
            <v>5</v>
          </cell>
        </row>
        <row r="50">
          <cell r="I50">
            <v>4</v>
          </cell>
          <cell r="K50">
            <v>0</v>
          </cell>
        </row>
        <row r="51">
          <cell r="I51">
            <v>4</v>
          </cell>
          <cell r="K51">
            <v>0</v>
          </cell>
        </row>
        <row r="52">
          <cell r="I52">
            <v>10</v>
          </cell>
          <cell r="J52">
            <v>2</v>
          </cell>
          <cell r="K52">
            <v>3</v>
          </cell>
        </row>
        <row r="53">
          <cell r="I53">
            <v>46</v>
          </cell>
          <cell r="K53">
            <v>8</v>
          </cell>
        </row>
        <row r="54">
          <cell r="I54">
            <v>11</v>
          </cell>
          <cell r="K54">
            <v>17</v>
          </cell>
        </row>
        <row r="55">
          <cell r="I55">
            <v>13</v>
          </cell>
          <cell r="K55">
            <v>4</v>
          </cell>
        </row>
        <row r="56">
          <cell r="I56">
            <v>71</v>
          </cell>
          <cell r="J56">
            <v>1</v>
          </cell>
          <cell r="K56">
            <v>46</v>
          </cell>
        </row>
        <row r="57">
          <cell r="I57">
            <v>54</v>
          </cell>
          <cell r="K57">
            <v>20</v>
          </cell>
        </row>
        <row r="58">
          <cell r="I58">
            <v>0</v>
          </cell>
          <cell r="K58">
            <v>2</v>
          </cell>
        </row>
        <row r="59">
          <cell r="I59">
            <v>19</v>
          </cell>
          <cell r="K59">
            <v>13</v>
          </cell>
        </row>
        <row r="60">
          <cell r="G60">
            <v>359</v>
          </cell>
          <cell r="I60">
            <v>8</v>
          </cell>
          <cell r="K60">
            <v>2</v>
          </cell>
        </row>
        <row r="61">
          <cell r="I61">
            <v>11</v>
          </cell>
          <cell r="K61">
            <v>6</v>
          </cell>
        </row>
        <row r="62">
          <cell r="I62">
            <v>31</v>
          </cell>
          <cell r="K62">
            <v>13</v>
          </cell>
        </row>
        <row r="63">
          <cell r="I63">
            <v>7</v>
          </cell>
          <cell r="K63">
            <v>8</v>
          </cell>
        </row>
        <row r="64">
          <cell r="I64">
            <v>11</v>
          </cell>
          <cell r="K64">
            <v>17</v>
          </cell>
        </row>
        <row r="65">
          <cell r="I65">
            <v>15</v>
          </cell>
          <cell r="K65">
            <v>0</v>
          </cell>
        </row>
        <row r="66">
          <cell r="I66">
            <v>2</v>
          </cell>
          <cell r="K66">
            <v>2</v>
          </cell>
        </row>
        <row r="67">
          <cell r="I67">
            <v>1</v>
          </cell>
          <cell r="K67">
            <v>6</v>
          </cell>
        </row>
        <row r="68">
          <cell r="I68">
            <v>3</v>
          </cell>
          <cell r="K68">
            <v>1</v>
          </cell>
        </row>
        <row r="69">
          <cell r="I69">
            <v>6</v>
          </cell>
          <cell r="K69">
            <v>0</v>
          </cell>
        </row>
        <row r="70">
          <cell r="I70">
            <v>6</v>
          </cell>
          <cell r="K70">
            <v>0</v>
          </cell>
        </row>
        <row r="71">
          <cell r="H71">
            <v>2</v>
          </cell>
          <cell r="I71">
            <v>8</v>
          </cell>
          <cell r="K71">
            <v>4</v>
          </cell>
        </row>
        <row r="72">
          <cell r="H72">
            <v>2</v>
          </cell>
          <cell r="I72">
            <v>4</v>
          </cell>
          <cell r="K72">
            <v>3</v>
          </cell>
        </row>
        <row r="73">
          <cell r="I73">
            <v>5</v>
          </cell>
          <cell r="K73">
            <v>0</v>
          </cell>
        </row>
        <row r="76">
          <cell r="G76">
            <v>1</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RSD-LA"/>
      <sheetName val="RSD-NO"/>
      <sheetName val="State-Operated"/>
    </sheetNames>
    <sheetDataSet>
      <sheetData sheetId="0">
        <row r="13">
          <cell r="AD13">
            <v>490</v>
          </cell>
        </row>
        <row r="15">
          <cell r="AD15">
            <v>363</v>
          </cell>
        </row>
        <row r="16">
          <cell r="AD16">
            <v>287</v>
          </cell>
        </row>
        <row r="17">
          <cell r="AD17">
            <v>262</v>
          </cell>
        </row>
        <row r="18">
          <cell r="AD18">
            <v>416</v>
          </cell>
        </row>
        <row r="19">
          <cell r="AD19">
            <v>404</v>
          </cell>
        </row>
        <row r="20">
          <cell r="AD20">
            <v>479</v>
          </cell>
        </row>
        <row r="22">
          <cell r="AD22">
            <v>302</v>
          </cell>
        </row>
      </sheetData>
      <sheetData sheetId="1">
        <row r="14">
          <cell r="AD14">
            <v>340</v>
          </cell>
        </row>
        <row r="15">
          <cell r="AD15">
            <v>445</v>
          </cell>
        </row>
        <row r="16">
          <cell r="AD16">
            <v>603</v>
          </cell>
        </row>
        <row r="17">
          <cell r="AD17">
            <v>415</v>
          </cell>
        </row>
        <row r="18">
          <cell r="AD18">
            <v>520</v>
          </cell>
        </row>
        <row r="19">
          <cell r="AD19">
            <v>464</v>
          </cell>
        </row>
        <row r="20">
          <cell r="AD20">
            <v>115</v>
          </cell>
        </row>
        <row r="21">
          <cell r="AD21">
            <v>366</v>
          </cell>
        </row>
        <row r="22">
          <cell r="AD22">
            <v>201</v>
          </cell>
        </row>
        <row r="23">
          <cell r="AD23">
            <v>568</v>
          </cell>
        </row>
        <row r="24">
          <cell r="AD24">
            <v>581</v>
          </cell>
        </row>
        <row r="25">
          <cell r="AD25">
            <v>590</v>
          </cell>
        </row>
        <row r="26">
          <cell r="AD26">
            <v>155</v>
          </cell>
        </row>
        <row r="27">
          <cell r="AD27">
            <v>137</v>
          </cell>
        </row>
        <row r="28">
          <cell r="AD28">
            <v>311</v>
          </cell>
        </row>
        <row r="29">
          <cell r="AD29">
            <v>380</v>
          </cell>
        </row>
        <row r="30">
          <cell r="AD30">
            <v>313</v>
          </cell>
        </row>
        <row r="31">
          <cell r="AD31">
            <v>248</v>
          </cell>
        </row>
        <row r="32">
          <cell r="AD32">
            <v>206</v>
          </cell>
        </row>
        <row r="33">
          <cell r="AD33">
            <v>419</v>
          </cell>
        </row>
        <row r="34">
          <cell r="AD34">
            <v>307</v>
          </cell>
        </row>
        <row r="35">
          <cell r="AD35">
            <v>334</v>
          </cell>
        </row>
        <row r="36">
          <cell r="AD36">
            <v>251</v>
          </cell>
        </row>
        <row r="37">
          <cell r="AD37">
            <v>562</v>
          </cell>
        </row>
        <row r="38">
          <cell r="AD38">
            <v>817</v>
          </cell>
        </row>
        <row r="39">
          <cell r="AD39">
            <v>617</v>
          </cell>
        </row>
        <row r="40">
          <cell r="AD40">
            <v>556</v>
          </cell>
        </row>
        <row r="41">
          <cell r="AD41">
            <v>674</v>
          </cell>
        </row>
        <row r="42">
          <cell r="AD42">
            <v>640</v>
          </cell>
        </row>
        <row r="43">
          <cell r="AD43">
            <v>400</v>
          </cell>
        </row>
        <row r="44">
          <cell r="AD44">
            <v>779</v>
          </cell>
        </row>
        <row r="45">
          <cell r="AD45">
            <v>421</v>
          </cell>
        </row>
        <row r="46">
          <cell r="AD46">
            <v>488</v>
          </cell>
        </row>
        <row r="47">
          <cell r="AD47">
            <v>642</v>
          </cell>
        </row>
        <row r="48">
          <cell r="AD48">
            <v>607</v>
          </cell>
        </row>
        <row r="49">
          <cell r="AD49">
            <v>626</v>
          </cell>
        </row>
        <row r="50">
          <cell r="AD50">
            <v>488</v>
          </cell>
        </row>
        <row r="51">
          <cell r="AD51">
            <v>890</v>
          </cell>
        </row>
        <row r="52">
          <cell r="AD52">
            <v>290</v>
          </cell>
        </row>
        <row r="53">
          <cell r="AD53">
            <v>476</v>
          </cell>
        </row>
        <row r="54">
          <cell r="AD54">
            <v>478</v>
          </cell>
        </row>
        <row r="55">
          <cell r="AD55">
            <v>557</v>
          </cell>
        </row>
        <row r="56">
          <cell r="AD56">
            <v>397</v>
          </cell>
        </row>
        <row r="57">
          <cell r="AD57">
            <v>421</v>
          </cell>
        </row>
        <row r="58">
          <cell r="AD58">
            <v>296</v>
          </cell>
        </row>
        <row r="59">
          <cell r="AD59">
            <v>313</v>
          </cell>
        </row>
        <row r="60">
          <cell r="AD60">
            <v>518</v>
          </cell>
        </row>
        <row r="61">
          <cell r="AD61">
            <v>426</v>
          </cell>
        </row>
        <row r="62">
          <cell r="AD62">
            <v>436</v>
          </cell>
        </row>
        <row r="63">
          <cell r="AD63">
            <v>421</v>
          </cell>
        </row>
      </sheetData>
      <sheetData sheetId="2">
        <row r="13">
          <cell r="AD13">
            <v>169</v>
          </cell>
        </row>
        <row r="15">
          <cell r="AD15">
            <v>260</v>
          </cell>
        </row>
        <row r="17">
          <cell r="AD17">
            <v>344</v>
          </cell>
        </row>
        <row r="35">
          <cell r="AD35">
            <v>549</v>
          </cell>
        </row>
        <row r="36">
          <cell r="AE36">
            <v>5989</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Final 2-1-12 SIS"/>
      <sheetName val="From Robert"/>
    </sheetNames>
    <sheetDataSet>
      <sheetData sheetId="0">
        <row r="11">
          <cell r="C11">
            <v>9313</v>
          </cell>
          <cell r="Q11">
            <v>21</v>
          </cell>
          <cell r="S11">
            <v>9</v>
          </cell>
        </row>
        <row r="12">
          <cell r="C12">
            <v>4016</v>
          </cell>
          <cell r="Q12">
            <v>8</v>
          </cell>
          <cell r="S12">
            <v>1</v>
          </cell>
        </row>
        <row r="13">
          <cell r="C13">
            <v>20083</v>
          </cell>
          <cell r="Q13">
            <v>30</v>
          </cell>
          <cell r="S13">
            <v>11</v>
          </cell>
        </row>
        <row r="14">
          <cell r="C14">
            <v>3563</v>
          </cell>
          <cell r="Q14">
            <v>11</v>
          </cell>
          <cell r="S14">
            <v>3</v>
          </cell>
        </row>
        <row r="15">
          <cell r="C15">
            <v>5731</v>
          </cell>
          <cell r="Q15">
            <v>18</v>
          </cell>
          <cell r="S15">
            <v>4</v>
          </cell>
        </row>
        <row r="16">
          <cell r="C16">
            <v>6020</v>
          </cell>
          <cell r="Q16">
            <v>15</v>
          </cell>
          <cell r="S16">
            <v>5</v>
          </cell>
        </row>
        <row r="17">
          <cell r="C17">
            <v>2207</v>
          </cell>
          <cell r="Q17">
            <v>9</v>
          </cell>
          <cell r="S17">
            <v>6</v>
          </cell>
        </row>
        <row r="18">
          <cell r="C18">
            <v>20718</v>
          </cell>
          <cell r="Q18">
            <v>46</v>
          </cell>
          <cell r="S18">
            <v>22</v>
          </cell>
        </row>
        <row r="19">
          <cell r="C19">
            <v>40653</v>
          </cell>
          <cell r="Q19">
            <v>91</v>
          </cell>
          <cell r="S19">
            <v>37</v>
          </cell>
        </row>
        <row r="20">
          <cell r="C20">
            <v>30976</v>
          </cell>
          <cell r="Q20">
            <v>66</v>
          </cell>
          <cell r="S20">
            <v>26</v>
          </cell>
          <cell r="T20">
            <v>640</v>
          </cell>
        </row>
        <row r="21">
          <cell r="C21">
            <v>1572</v>
          </cell>
          <cell r="Q21">
            <v>2</v>
          </cell>
          <cell r="S21">
            <v>0</v>
          </cell>
        </row>
        <row r="22">
          <cell r="C22">
            <v>1223</v>
          </cell>
          <cell r="Q22">
            <v>0</v>
          </cell>
          <cell r="S22">
            <v>0</v>
          </cell>
        </row>
        <row r="23">
          <cell r="C23">
            <v>1508</v>
          </cell>
          <cell r="Q23">
            <v>19</v>
          </cell>
          <cell r="S23">
            <v>6</v>
          </cell>
        </row>
        <row r="24">
          <cell r="C24">
            <v>1945</v>
          </cell>
          <cell r="Q24">
            <v>4</v>
          </cell>
          <cell r="S24">
            <v>7</v>
          </cell>
        </row>
        <row r="25">
          <cell r="C25">
            <v>3621</v>
          </cell>
          <cell r="Q25">
            <v>6</v>
          </cell>
          <cell r="S25">
            <v>1</v>
          </cell>
        </row>
        <row r="26">
          <cell r="C26">
            <v>4773</v>
          </cell>
          <cell r="Q26">
            <v>13</v>
          </cell>
          <cell r="S26">
            <v>2</v>
          </cell>
        </row>
        <row r="27">
          <cell r="C27">
            <v>41009</v>
          </cell>
          <cell r="P27">
            <v>190</v>
          </cell>
          <cell r="Q27">
            <v>68</v>
          </cell>
          <cell r="S27">
            <v>44</v>
          </cell>
        </row>
        <row r="28">
          <cell r="C28">
            <v>1134</v>
          </cell>
          <cell r="Q28">
            <v>1</v>
          </cell>
          <cell r="S28">
            <v>0</v>
          </cell>
        </row>
        <row r="29">
          <cell r="C29">
            <v>1929</v>
          </cell>
          <cell r="Q29">
            <v>7</v>
          </cell>
          <cell r="S29">
            <v>1</v>
          </cell>
        </row>
        <row r="30">
          <cell r="C30">
            <v>5802</v>
          </cell>
          <cell r="Q30">
            <v>7</v>
          </cell>
          <cell r="S30">
            <v>1</v>
          </cell>
        </row>
        <row r="31">
          <cell r="C31">
            <v>2938</v>
          </cell>
          <cell r="Q31">
            <v>0</v>
          </cell>
          <cell r="S31">
            <v>9</v>
          </cell>
        </row>
        <row r="32">
          <cell r="C32">
            <v>3267</v>
          </cell>
          <cell r="Q32">
            <v>2</v>
          </cell>
          <cell r="S32">
            <v>8</v>
          </cell>
        </row>
        <row r="33">
          <cell r="C33">
            <v>13259</v>
          </cell>
          <cell r="Q33">
            <v>8</v>
          </cell>
          <cell r="S33">
            <v>10</v>
          </cell>
        </row>
        <row r="34">
          <cell r="C34">
            <v>4461</v>
          </cell>
          <cell r="Q34">
            <v>11</v>
          </cell>
          <cell r="S34">
            <v>2</v>
          </cell>
        </row>
        <row r="35">
          <cell r="C35">
            <v>2224</v>
          </cell>
          <cell r="Q35">
            <v>3</v>
          </cell>
          <cell r="S35">
            <v>0</v>
          </cell>
        </row>
        <row r="36">
          <cell r="C36">
            <v>43581</v>
          </cell>
          <cell r="Q36">
            <v>89</v>
          </cell>
          <cell r="R36">
            <v>28</v>
          </cell>
          <cell r="S36">
            <v>39</v>
          </cell>
          <cell r="U36">
            <v>10</v>
          </cell>
          <cell r="V36">
            <v>40</v>
          </cell>
        </row>
        <row r="37">
          <cell r="C37">
            <v>5597</v>
          </cell>
          <cell r="Q37">
            <v>3</v>
          </cell>
          <cell r="S37">
            <v>3</v>
          </cell>
        </row>
        <row r="38">
          <cell r="C38">
            <v>29564</v>
          </cell>
          <cell r="Q38">
            <v>52</v>
          </cell>
          <cell r="S38">
            <v>24</v>
          </cell>
        </row>
        <row r="39">
          <cell r="C39">
            <v>13508</v>
          </cell>
          <cell r="Q39">
            <v>17</v>
          </cell>
          <cell r="S39">
            <v>5</v>
          </cell>
        </row>
        <row r="40">
          <cell r="C40">
            <v>2431</v>
          </cell>
          <cell r="Q40">
            <v>1</v>
          </cell>
          <cell r="S40">
            <v>3</v>
          </cell>
        </row>
        <row r="41">
          <cell r="C41">
            <v>6451</v>
          </cell>
          <cell r="O41">
            <v>1</v>
          </cell>
          <cell r="Q41">
            <v>5</v>
          </cell>
          <cell r="S41">
            <v>1</v>
          </cell>
        </row>
        <row r="42">
          <cell r="C42">
            <v>24352</v>
          </cell>
          <cell r="P42">
            <v>1</v>
          </cell>
          <cell r="Q42">
            <v>33</v>
          </cell>
          <cell r="S42">
            <v>32</v>
          </cell>
        </row>
        <row r="43">
          <cell r="C43">
            <v>1861</v>
          </cell>
          <cell r="Q43">
            <v>9</v>
          </cell>
          <cell r="S43">
            <v>2</v>
          </cell>
        </row>
        <row r="44">
          <cell r="C44">
            <v>4312</v>
          </cell>
          <cell r="Q44">
            <v>11</v>
          </cell>
          <cell r="S44">
            <v>2</v>
          </cell>
        </row>
        <row r="45">
          <cell r="C45">
            <v>6437</v>
          </cell>
          <cell r="Q45">
            <v>8</v>
          </cell>
          <cell r="S45">
            <v>10</v>
          </cell>
        </row>
        <row r="46">
          <cell r="C46">
            <v>10644</v>
          </cell>
          <cell r="Q46">
            <v>80</v>
          </cell>
          <cell r="R46">
            <v>276</v>
          </cell>
          <cell r="S46">
            <v>14</v>
          </cell>
          <cell r="U46">
            <v>45</v>
          </cell>
          <cell r="V46">
            <v>60</v>
          </cell>
        </row>
        <row r="47">
          <cell r="C47">
            <v>19222</v>
          </cell>
          <cell r="O47">
            <v>2</v>
          </cell>
          <cell r="Q47">
            <v>17</v>
          </cell>
          <cell r="S47">
            <v>12</v>
          </cell>
        </row>
        <row r="48">
          <cell r="C48">
            <v>3750</v>
          </cell>
          <cell r="Q48">
            <v>4</v>
          </cell>
          <cell r="S48">
            <v>0</v>
          </cell>
          <cell r="V48">
            <v>1</v>
          </cell>
        </row>
        <row r="49">
          <cell r="C49">
            <v>2582</v>
          </cell>
          <cell r="Q49">
            <v>8</v>
          </cell>
          <cell r="S49">
            <v>5</v>
          </cell>
        </row>
        <row r="50">
          <cell r="C50">
            <v>22934</v>
          </cell>
          <cell r="Q50">
            <v>40</v>
          </cell>
          <cell r="S50">
            <v>24</v>
          </cell>
        </row>
        <row r="51">
          <cell r="C51">
            <v>1401</v>
          </cell>
          <cell r="Q51">
            <v>2</v>
          </cell>
          <cell r="S51">
            <v>1</v>
          </cell>
        </row>
        <row r="52">
          <cell r="C52">
            <v>3424</v>
          </cell>
          <cell r="Q52">
            <v>11</v>
          </cell>
          <cell r="S52">
            <v>0</v>
          </cell>
        </row>
        <row r="53">
          <cell r="C53">
            <v>3965</v>
          </cell>
          <cell r="Q53">
            <v>12</v>
          </cell>
          <cell r="S53">
            <v>6</v>
          </cell>
        </row>
        <row r="54">
          <cell r="C54">
            <v>5846</v>
          </cell>
          <cell r="Q54">
            <v>4</v>
          </cell>
          <cell r="R54">
            <v>1</v>
          </cell>
          <cell r="S54">
            <v>4</v>
          </cell>
        </row>
        <row r="55">
          <cell r="C55">
            <v>9402</v>
          </cell>
          <cell r="Q55">
            <v>2</v>
          </cell>
          <cell r="R55">
            <v>1</v>
          </cell>
          <cell r="S55">
            <v>6</v>
          </cell>
          <cell r="V55">
            <v>1</v>
          </cell>
        </row>
        <row r="56">
          <cell r="C56">
            <v>760</v>
          </cell>
          <cell r="Q56">
            <v>8</v>
          </cell>
          <cell r="S56">
            <v>0</v>
          </cell>
        </row>
        <row r="57">
          <cell r="C57">
            <v>3636</v>
          </cell>
          <cell r="Q57">
            <v>5</v>
          </cell>
          <cell r="S57">
            <v>0</v>
          </cell>
        </row>
        <row r="58">
          <cell r="C58">
            <v>6202</v>
          </cell>
          <cell r="Q58">
            <v>10</v>
          </cell>
          <cell r="R58">
            <v>2</v>
          </cell>
          <cell r="S58">
            <v>3</v>
          </cell>
        </row>
        <row r="59">
          <cell r="C59">
            <v>14392</v>
          </cell>
          <cell r="Q59">
            <v>49</v>
          </cell>
          <cell r="S59">
            <v>11</v>
          </cell>
        </row>
        <row r="60">
          <cell r="C60">
            <v>7962</v>
          </cell>
          <cell r="Q60">
            <v>10</v>
          </cell>
          <cell r="S60">
            <v>15</v>
          </cell>
        </row>
        <row r="61">
          <cell r="C61">
            <v>9038</v>
          </cell>
          <cell r="Q61">
            <v>12</v>
          </cell>
          <cell r="S61">
            <v>6</v>
          </cell>
        </row>
        <row r="62">
          <cell r="C62">
            <v>36392</v>
          </cell>
          <cell r="Q62">
            <v>65</v>
          </cell>
          <cell r="R62">
            <v>1</v>
          </cell>
          <cell r="S62">
            <v>51</v>
          </cell>
          <cell r="V62">
            <v>1</v>
          </cell>
        </row>
        <row r="63">
          <cell r="C63">
            <v>18933</v>
          </cell>
          <cell r="Q63">
            <v>48</v>
          </cell>
          <cell r="S63">
            <v>26</v>
          </cell>
        </row>
        <row r="64">
          <cell r="C64">
            <v>697</v>
          </cell>
          <cell r="Q64">
            <v>0</v>
          </cell>
          <cell r="S64">
            <v>2</v>
          </cell>
        </row>
        <row r="65">
          <cell r="C65">
            <v>17649</v>
          </cell>
          <cell r="Q65">
            <v>26</v>
          </cell>
          <cell r="S65">
            <v>13</v>
          </cell>
        </row>
        <row r="66">
          <cell r="C66">
            <v>2473</v>
          </cell>
          <cell r="O66">
            <v>360</v>
          </cell>
          <cell r="Q66">
            <v>6</v>
          </cell>
          <cell r="S66">
            <v>3</v>
          </cell>
        </row>
        <row r="67">
          <cell r="C67">
            <v>8853</v>
          </cell>
          <cell r="Q67">
            <v>10</v>
          </cell>
          <cell r="S67">
            <v>7</v>
          </cell>
        </row>
        <row r="68">
          <cell r="C68">
            <v>9438</v>
          </cell>
          <cell r="Q68">
            <v>35</v>
          </cell>
          <cell r="S68">
            <v>12</v>
          </cell>
        </row>
        <row r="69">
          <cell r="C69">
            <v>5160</v>
          </cell>
          <cell r="Q69">
            <v>8</v>
          </cell>
          <cell r="S69">
            <v>9</v>
          </cell>
        </row>
        <row r="70">
          <cell r="C70">
            <v>6435</v>
          </cell>
          <cell r="Q70">
            <v>20</v>
          </cell>
          <cell r="S70">
            <v>16</v>
          </cell>
        </row>
        <row r="71">
          <cell r="C71">
            <v>3521</v>
          </cell>
          <cell r="Q71">
            <v>15</v>
          </cell>
          <cell r="S71">
            <v>0</v>
          </cell>
        </row>
        <row r="72">
          <cell r="C72">
            <v>2097</v>
          </cell>
          <cell r="Q72">
            <v>2</v>
          </cell>
          <cell r="S72">
            <v>2</v>
          </cell>
        </row>
        <row r="73">
          <cell r="C73">
            <v>2028</v>
          </cell>
          <cell r="Q73">
            <v>6</v>
          </cell>
          <cell r="S73">
            <v>6</v>
          </cell>
        </row>
        <row r="74">
          <cell r="C74">
            <v>2417</v>
          </cell>
          <cell r="Q74">
            <v>2</v>
          </cell>
          <cell r="S74">
            <v>1</v>
          </cell>
        </row>
        <row r="75">
          <cell r="C75">
            <v>8398</v>
          </cell>
          <cell r="Q75">
            <v>9</v>
          </cell>
          <cell r="S75">
            <v>0</v>
          </cell>
        </row>
        <row r="76">
          <cell r="C76">
            <v>2052</v>
          </cell>
          <cell r="Q76">
            <v>8</v>
          </cell>
          <cell r="S76">
            <v>0</v>
          </cell>
        </row>
        <row r="77">
          <cell r="C77">
            <v>5057</v>
          </cell>
          <cell r="P77">
            <v>2</v>
          </cell>
          <cell r="Q77">
            <v>4</v>
          </cell>
          <cell r="S77">
            <v>3</v>
          </cell>
        </row>
        <row r="78">
          <cell r="C78">
            <v>1758</v>
          </cell>
          <cell r="P78">
            <v>3</v>
          </cell>
          <cell r="Q78">
            <v>5</v>
          </cell>
          <cell r="S78">
            <v>0</v>
          </cell>
        </row>
        <row r="79">
          <cell r="C79">
            <v>3927</v>
          </cell>
          <cell r="P79">
            <v>2</v>
          </cell>
          <cell r="Q79">
            <v>5</v>
          </cell>
          <cell r="S79">
            <v>0</v>
          </cell>
        </row>
        <row r="80">
          <cell r="O80">
            <v>1</v>
          </cell>
        </row>
      </sheetData>
      <sheetData sheetId="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By LEA"/>
      <sheetName val="Selected Sites"/>
    </sheetNames>
    <sheetDataSet>
      <sheetData sheetId="0"/>
      <sheetData sheetId="1">
        <row r="12">
          <cell r="G12">
            <v>1359</v>
          </cell>
        </row>
        <row r="13">
          <cell r="G13">
            <v>266</v>
          </cell>
        </row>
        <row r="15">
          <cell r="G15">
            <v>332</v>
          </cell>
        </row>
        <row r="16">
          <cell r="G16">
            <v>368</v>
          </cell>
        </row>
        <row r="17">
          <cell r="G17">
            <v>624</v>
          </cell>
        </row>
        <row r="18">
          <cell r="G18">
            <v>681</v>
          </cell>
        </row>
        <row r="19">
          <cell r="G19">
            <v>652</v>
          </cell>
        </row>
        <row r="20">
          <cell r="G20">
            <v>915</v>
          </cell>
        </row>
        <row r="21">
          <cell r="G21">
            <v>399</v>
          </cell>
        </row>
        <row r="22">
          <cell r="G22">
            <v>102</v>
          </cell>
        </row>
        <row r="56">
          <cell r="G56">
            <v>295</v>
          </cell>
        </row>
        <row r="60">
          <cell r="G60">
            <v>51</v>
          </cell>
        </row>
        <row r="62">
          <cell r="G62">
            <v>478</v>
          </cell>
        </row>
        <row r="64">
          <cell r="G64">
            <v>326</v>
          </cell>
        </row>
        <row r="65">
          <cell r="G65">
            <v>271</v>
          </cell>
        </row>
        <row r="66">
          <cell r="G66">
            <v>252</v>
          </cell>
        </row>
        <row r="67">
          <cell r="G67">
            <v>402</v>
          </cell>
        </row>
        <row r="68">
          <cell r="G68">
            <v>391</v>
          </cell>
        </row>
        <row r="69">
          <cell r="G69">
            <v>475</v>
          </cell>
        </row>
        <row r="71">
          <cell r="G71">
            <v>277</v>
          </cell>
        </row>
        <row r="74">
          <cell r="G74">
            <v>340</v>
          </cell>
        </row>
        <row r="75">
          <cell r="G75">
            <v>420</v>
          </cell>
        </row>
        <row r="76">
          <cell r="G76">
            <v>601</v>
          </cell>
        </row>
        <row r="77">
          <cell r="G77">
            <v>423</v>
          </cell>
        </row>
        <row r="78">
          <cell r="G78">
            <v>547</v>
          </cell>
        </row>
        <row r="79">
          <cell r="G79">
            <v>462</v>
          </cell>
        </row>
        <row r="80">
          <cell r="G80">
            <v>103</v>
          </cell>
        </row>
        <row r="81">
          <cell r="G81">
            <v>364</v>
          </cell>
        </row>
        <row r="82">
          <cell r="G82">
            <v>200</v>
          </cell>
        </row>
        <row r="83">
          <cell r="G83">
            <v>581</v>
          </cell>
        </row>
        <row r="84">
          <cell r="G84">
            <v>608</v>
          </cell>
        </row>
        <row r="85">
          <cell r="G85">
            <v>581</v>
          </cell>
        </row>
        <row r="86">
          <cell r="G86">
            <v>157</v>
          </cell>
        </row>
        <row r="87">
          <cell r="G87">
            <v>139</v>
          </cell>
        </row>
        <row r="88">
          <cell r="G88">
            <v>310</v>
          </cell>
        </row>
        <row r="89">
          <cell r="G89">
            <v>383</v>
          </cell>
        </row>
        <row r="90">
          <cell r="G90">
            <v>304</v>
          </cell>
        </row>
        <row r="91">
          <cell r="G91">
            <v>253</v>
          </cell>
        </row>
        <row r="92">
          <cell r="G92">
            <v>210</v>
          </cell>
        </row>
        <row r="93">
          <cell r="G93">
            <v>419</v>
          </cell>
        </row>
        <row r="94">
          <cell r="G94">
            <v>308</v>
          </cell>
        </row>
        <row r="95">
          <cell r="G95">
            <v>336</v>
          </cell>
        </row>
        <row r="96">
          <cell r="G96">
            <v>239</v>
          </cell>
        </row>
        <row r="97">
          <cell r="G97">
            <v>526</v>
          </cell>
        </row>
        <row r="98">
          <cell r="G98">
            <v>770</v>
          </cell>
        </row>
        <row r="99">
          <cell r="G99">
            <v>614</v>
          </cell>
        </row>
        <row r="100">
          <cell r="G100">
            <v>548</v>
          </cell>
        </row>
        <row r="101">
          <cell r="G101">
            <v>667</v>
          </cell>
        </row>
        <row r="102">
          <cell r="G102">
            <v>686</v>
          </cell>
        </row>
        <row r="103">
          <cell r="G103">
            <v>399</v>
          </cell>
        </row>
        <row r="104">
          <cell r="G104">
            <v>785</v>
          </cell>
        </row>
        <row r="105">
          <cell r="G105">
            <v>422</v>
          </cell>
        </row>
        <row r="106">
          <cell r="G106">
            <v>480</v>
          </cell>
        </row>
        <row r="107">
          <cell r="G107">
            <v>641</v>
          </cell>
        </row>
        <row r="108">
          <cell r="G108">
            <v>592</v>
          </cell>
        </row>
        <row r="109">
          <cell r="G109">
            <v>610</v>
          </cell>
        </row>
        <row r="110">
          <cell r="G110">
            <v>471</v>
          </cell>
        </row>
        <row r="111">
          <cell r="G111">
            <v>858</v>
          </cell>
        </row>
        <row r="112">
          <cell r="G112">
            <v>278</v>
          </cell>
        </row>
        <row r="113">
          <cell r="G113">
            <v>469</v>
          </cell>
        </row>
        <row r="114">
          <cell r="G114">
            <v>481</v>
          </cell>
        </row>
        <row r="115">
          <cell r="G115">
            <v>556</v>
          </cell>
        </row>
        <row r="116">
          <cell r="G116">
            <v>387</v>
          </cell>
        </row>
        <row r="117">
          <cell r="G117">
            <v>416</v>
          </cell>
        </row>
        <row r="118">
          <cell r="G118">
            <v>271</v>
          </cell>
        </row>
        <row r="119">
          <cell r="G119">
            <v>309</v>
          </cell>
        </row>
        <row r="120">
          <cell r="G120">
            <v>515</v>
          </cell>
        </row>
        <row r="121">
          <cell r="G121">
            <v>421</v>
          </cell>
        </row>
        <row r="122">
          <cell r="G122">
            <v>385</v>
          </cell>
        </row>
        <row r="123">
          <cell r="G123">
            <v>425</v>
          </cell>
        </row>
        <row r="126">
          <cell r="G126">
            <v>166</v>
          </cell>
        </row>
        <row r="127">
          <cell r="G127">
            <v>253</v>
          </cell>
        </row>
        <row r="128">
          <cell r="G128">
            <v>336</v>
          </cell>
        </row>
        <row r="147">
          <cell r="G147">
            <v>523</v>
          </cell>
        </row>
        <row r="148">
          <cell r="H148">
            <v>6114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FP"/>
      <sheetName val="RSD-NO"/>
      <sheetName val="RSD-LA"/>
      <sheetName val="Table 2A EFTS-ak"/>
    </sheetNames>
    <sheetDataSet>
      <sheetData sheetId="0">
        <row r="8">
          <cell r="EG8">
            <v>33222313</v>
          </cell>
        </row>
        <row r="9">
          <cell r="EG9">
            <v>18529801</v>
          </cell>
        </row>
        <row r="10">
          <cell r="EG10">
            <v>61379043</v>
          </cell>
        </row>
        <row r="11">
          <cell r="EG11">
            <v>15687290</v>
          </cell>
        </row>
        <row r="12">
          <cell r="EG12">
            <v>20950238</v>
          </cell>
        </row>
        <row r="13">
          <cell r="EG13">
            <v>24885683</v>
          </cell>
        </row>
        <row r="14">
          <cell r="EG14">
            <v>3355900</v>
          </cell>
        </row>
        <row r="15">
          <cell r="EG15">
            <v>63924481</v>
          </cell>
        </row>
        <row r="16">
          <cell r="EG16">
            <v>139068991</v>
          </cell>
        </row>
        <row r="17">
          <cell r="EG17">
            <v>102712360</v>
          </cell>
        </row>
        <row r="18">
          <cell r="EG18">
            <v>7840879</v>
          </cell>
        </row>
        <row r="19">
          <cell r="EG19">
            <v>2222988</v>
          </cell>
        </row>
        <row r="20">
          <cell r="EG20">
            <v>6773691</v>
          </cell>
        </row>
        <row r="21">
          <cell r="EG21">
            <v>8747488</v>
          </cell>
        </row>
        <row r="22">
          <cell r="EG22">
            <v>14640446</v>
          </cell>
        </row>
        <row r="23">
          <cell r="EG23">
            <v>6844163</v>
          </cell>
        </row>
        <row r="24">
          <cell r="EG24">
            <v>110445840</v>
          </cell>
        </row>
        <row r="25">
          <cell r="EG25">
            <v>5153028</v>
          </cell>
        </row>
        <row r="26">
          <cell r="EG26">
            <v>7932368</v>
          </cell>
        </row>
        <row r="27">
          <cell r="EG27">
            <v>22872806</v>
          </cell>
        </row>
        <row r="28">
          <cell r="EG28">
            <v>12022251</v>
          </cell>
        </row>
        <row r="29">
          <cell r="EG29">
            <v>14671108</v>
          </cell>
        </row>
        <row r="30">
          <cell r="EG30">
            <v>48347061</v>
          </cell>
        </row>
        <row r="31">
          <cell r="EG31">
            <v>9744382</v>
          </cell>
        </row>
        <row r="32">
          <cell r="EG32">
            <v>6306005</v>
          </cell>
        </row>
        <row r="33">
          <cell r="EG33">
            <v>113954338</v>
          </cell>
        </row>
        <row r="34">
          <cell r="EG34">
            <v>23891361</v>
          </cell>
        </row>
        <row r="35">
          <cell r="EG35">
            <v>79833540</v>
          </cell>
        </row>
        <row r="36">
          <cell r="EG36">
            <v>44395865</v>
          </cell>
        </row>
        <row r="37">
          <cell r="EG37">
            <v>10569545</v>
          </cell>
        </row>
        <row r="38">
          <cell r="EG38">
            <v>20915324</v>
          </cell>
        </row>
        <row r="39">
          <cell r="EG39">
            <v>95740663</v>
          </cell>
        </row>
        <row r="40">
          <cell r="EG40">
            <v>7717792</v>
          </cell>
        </row>
        <row r="41">
          <cell r="EG41">
            <v>18615405</v>
          </cell>
        </row>
        <row r="42">
          <cell r="EG42">
            <v>23532653</v>
          </cell>
        </row>
        <row r="43">
          <cell r="EG43">
            <v>27025133</v>
          </cell>
        </row>
        <row r="44">
          <cell r="EG44">
            <v>77552637</v>
          </cell>
        </row>
        <row r="45">
          <cell r="EG45">
            <v>8015745</v>
          </cell>
        </row>
        <row r="46">
          <cell r="EG46">
            <v>7366974</v>
          </cell>
        </row>
        <row r="47">
          <cell r="EG47">
            <v>83398870</v>
          </cell>
        </row>
        <row r="48">
          <cell r="EG48">
            <v>2951153</v>
          </cell>
        </row>
        <row r="49">
          <cell r="EG49">
            <v>13306057</v>
          </cell>
        </row>
        <row r="50">
          <cell r="EG50">
            <v>17339037</v>
          </cell>
        </row>
        <row r="51">
          <cell r="EG51">
            <v>18166053</v>
          </cell>
        </row>
        <row r="52">
          <cell r="EG52">
            <v>19992268</v>
          </cell>
        </row>
        <row r="53">
          <cell r="EG53">
            <v>3240837</v>
          </cell>
        </row>
        <row r="54">
          <cell r="EG54">
            <v>10761751</v>
          </cell>
        </row>
        <row r="55">
          <cell r="EG55">
            <v>17358505</v>
          </cell>
        </row>
        <row r="56">
          <cell r="EG56">
            <v>50494659</v>
          </cell>
        </row>
        <row r="57">
          <cell r="EG57">
            <v>30727719</v>
          </cell>
        </row>
        <row r="58">
          <cell r="EG58">
            <v>31413491</v>
          </cell>
        </row>
        <row r="59">
          <cell r="EG59">
            <v>135983012</v>
          </cell>
        </row>
        <row r="60">
          <cell r="EG60">
            <v>67504986</v>
          </cell>
        </row>
        <row r="61">
          <cell r="EG61">
            <v>2969190</v>
          </cell>
        </row>
        <row r="62">
          <cell r="EG62">
            <v>57084193</v>
          </cell>
        </row>
        <row r="63">
          <cell r="EG63">
            <v>9615651</v>
          </cell>
        </row>
        <row r="64">
          <cell r="EG64">
            <v>30906060</v>
          </cell>
        </row>
        <row r="65">
          <cell r="EG65">
            <v>36858620</v>
          </cell>
        </row>
        <row r="66">
          <cell r="EG66">
            <v>23456579</v>
          </cell>
        </row>
        <row r="67">
          <cell r="EG67">
            <v>24665375</v>
          </cell>
        </row>
        <row r="68">
          <cell r="EG68">
            <v>8681283</v>
          </cell>
        </row>
        <row r="69">
          <cell r="EG69">
            <v>8505301</v>
          </cell>
        </row>
        <row r="70">
          <cell r="EG70">
            <v>6900010</v>
          </cell>
        </row>
        <row r="71">
          <cell r="EG71">
            <v>10432774</v>
          </cell>
        </row>
        <row r="72">
          <cell r="EG72">
            <v>29853845</v>
          </cell>
        </row>
        <row r="73">
          <cell r="EG73">
            <v>9473225</v>
          </cell>
        </row>
        <row r="74">
          <cell r="EG74">
            <v>18542555</v>
          </cell>
        </row>
        <row r="75">
          <cell r="EG75">
            <v>7995713</v>
          </cell>
        </row>
        <row r="76">
          <cell r="EG76">
            <v>16047090</v>
          </cell>
        </row>
      </sheetData>
      <sheetData sheetId="1"/>
      <sheetData sheetId="2"/>
      <sheetData sheetId="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mary Sheet"/>
      <sheetName val="March 2012 Allocation"/>
    </sheetNames>
    <sheetDataSet>
      <sheetData sheetId="0" refreshError="1"/>
      <sheetData sheetId="1">
        <row r="60">
          <cell r="AN60">
            <v>119529117</v>
          </cell>
          <cell r="AP60">
            <v>-235236.65625</v>
          </cell>
          <cell r="AS60">
            <v>-863975.35340144066</v>
          </cell>
          <cell r="AW60">
            <v>10217161.997587141</v>
          </cell>
        </row>
        <row r="68">
          <cell r="AP68">
            <v>-24014.65625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actors"/>
      <sheetName val="Summary of Simulation "/>
      <sheetName val="Table 1 State Summary "/>
      <sheetName val="Table 2 Distributions &amp; Adjust"/>
      <sheetName val="Table 2A-1 EFTs- Monthly"/>
      <sheetName val="Table 2A-2 EFTs- Annual"/>
      <sheetName val="Table 3 Levels 1&amp;2"/>
      <sheetName val="Table 4 Level 3"/>
      <sheetName val="Table 4A Stipends"/>
      <sheetName val="Table 5A1 Labs NOCCA LSMSA"/>
      <sheetName val="Table 5B1_RSD_Orleans"/>
      <sheetName val="Table 5B2_RSD_LA"/>
      <sheetName val="Table 5C1 - Type 2s"/>
      <sheetName val="Table 5C2 - LA Virtual Admy "/>
      <sheetName val="Table 5C3 - LA Connections  "/>
      <sheetName val="Table 5D - Legacy Type 2"/>
      <sheetName val="Table 5E_OJJ"/>
      <sheetName val="Table 6 (Local Deduct Calc.)"/>
      <sheetName val="Table 7 Local Revenue"/>
      <sheetName val="Table 8   2-1-10 Membership"/>
      <sheetName val="Midyear adjustment summary"/>
      <sheetName val="October midyear adj"/>
      <sheetName val="Oct midyear adj_LA virtual"/>
      <sheetName val="Oct midyear adj_Connections"/>
      <sheetName val="Oct midyear adj_OJJ"/>
      <sheetName val="February midyear adj "/>
      <sheetName val="Feb midyear adj_LA virtual "/>
      <sheetName val="Feb midyear adj_Connections"/>
      <sheetName val="Feb midyear adj_OJJ"/>
      <sheetName val="10.1.11_MFP &amp; Funded Membership"/>
      <sheetName val="10.1.11_location or residence"/>
      <sheetName val="10.1.11_RSD-LA"/>
      <sheetName val="10.1.11_RSD-NO"/>
      <sheetName val="10.1.11_State-Operat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6">
          <cell r="U6">
            <v>9154</v>
          </cell>
        </row>
        <row r="7">
          <cell r="U7">
            <v>4039</v>
          </cell>
        </row>
        <row r="8">
          <cell r="U8">
            <v>19509</v>
          </cell>
        </row>
        <row r="9">
          <cell r="U9">
            <v>3556</v>
          </cell>
        </row>
        <row r="10">
          <cell r="U10">
            <v>5802</v>
          </cell>
        </row>
        <row r="11">
          <cell r="U11">
            <v>6041</v>
          </cell>
        </row>
        <row r="12">
          <cell r="U12">
            <v>2201</v>
          </cell>
        </row>
        <row r="13">
          <cell r="U13">
            <v>20302</v>
          </cell>
        </row>
        <row r="14">
          <cell r="U14">
            <v>40761</v>
          </cell>
        </row>
        <row r="15">
          <cell r="U15">
            <v>31370</v>
          </cell>
        </row>
        <row r="16">
          <cell r="U16">
            <v>1605</v>
          </cell>
        </row>
        <row r="17">
          <cell r="U17">
            <v>1240</v>
          </cell>
        </row>
        <row r="18">
          <cell r="U18">
            <v>1515</v>
          </cell>
        </row>
        <row r="19">
          <cell r="U19">
            <v>2009</v>
          </cell>
        </row>
        <row r="20">
          <cell r="U20">
            <v>3692</v>
          </cell>
        </row>
        <row r="21">
          <cell r="U21">
            <v>4677</v>
          </cell>
        </row>
        <row r="22">
          <cell r="U22">
            <v>40736</v>
          </cell>
        </row>
        <row r="23">
          <cell r="U23">
            <v>1163</v>
          </cell>
        </row>
        <row r="24">
          <cell r="U24">
            <v>1958</v>
          </cell>
        </row>
        <row r="25">
          <cell r="U25">
            <v>5699</v>
          </cell>
        </row>
        <row r="26">
          <cell r="U26">
            <v>2902</v>
          </cell>
        </row>
        <row r="27">
          <cell r="U27">
            <v>3306</v>
          </cell>
        </row>
        <row r="28">
          <cell r="U28">
            <v>13151</v>
          </cell>
        </row>
        <row r="29">
          <cell r="U29">
            <v>4369</v>
          </cell>
        </row>
        <row r="30">
          <cell r="U30">
            <v>2191</v>
          </cell>
        </row>
        <row r="31">
          <cell r="U31">
            <v>43028</v>
          </cell>
        </row>
        <row r="32">
          <cell r="U32">
            <v>5599</v>
          </cell>
        </row>
        <row r="33">
          <cell r="U33">
            <v>29511</v>
          </cell>
        </row>
        <row r="34">
          <cell r="U34">
            <v>13458</v>
          </cell>
        </row>
        <row r="35">
          <cell r="U35">
            <v>2440</v>
          </cell>
        </row>
        <row r="36">
          <cell r="U36">
            <v>6465</v>
          </cell>
        </row>
        <row r="37">
          <cell r="U37">
            <v>24050</v>
          </cell>
        </row>
        <row r="38">
          <cell r="U38">
            <v>1832</v>
          </cell>
        </row>
        <row r="39">
          <cell r="U39">
            <v>4365</v>
          </cell>
        </row>
        <row r="40">
          <cell r="U40">
            <v>6438</v>
          </cell>
        </row>
        <row r="41">
          <cell r="U41">
            <v>10215</v>
          </cell>
        </row>
        <row r="42">
          <cell r="U42">
            <v>19046</v>
          </cell>
        </row>
        <row r="43">
          <cell r="U43">
            <v>3728</v>
          </cell>
        </row>
        <row r="44">
          <cell r="U44">
            <v>2513</v>
          </cell>
        </row>
        <row r="45">
          <cell r="U45">
            <v>22762</v>
          </cell>
        </row>
        <row r="46">
          <cell r="U46">
            <v>1434</v>
          </cell>
        </row>
        <row r="47">
          <cell r="U47">
            <v>3298</v>
          </cell>
        </row>
        <row r="48">
          <cell r="U48">
            <v>3981</v>
          </cell>
        </row>
        <row r="49">
          <cell r="U49">
            <v>5439</v>
          </cell>
        </row>
        <row r="50">
          <cell r="U50">
            <v>9430</v>
          </cell>
        </row>
        <row r="51">
          <cell r="U51">
            <v>749</v>
          </cell>
        </row>
        <row r="52">
          <cell r="U52">
            <v>3716</v>
          </cell>
        </row>
        <row r="53">
          <cell r="U53">
            <v>6033</v>
          </cell>
        </row>
        <row r="54">
          <cell r="U54">
            <v>13951</v>
          </cell>
        </row>
        <row r="55">
          <cell r="U55">
            <v>8111</v>
          </cell>
        </row>
        <row r="56">
          <cell r="U56">
            <v>8991</v>
          </cell>
        </row>
        <row r="57">
          <cell r="U57">
            <v>36177</v>
          </cell>
        </row>
        <row r="58">
          <cell r="U58">
            <v>18645</v>
          </cell>
        </row>
        <row r="59">
          <cell r="U59">
            <v>675</v>
          </cell>
        </row>
        <row r="60">
          <cell r="U60">
            <v>17632</v>
          </cell>
        </row>
        <row r="61">
          <cell r="U61">
            <v>2528</v>
          </cell>
        </row>
        <row r="62">
          <cell r="U62">
            <v>8777</v>
          </cell>
        </row>
        <row r="63">
          <cell r="U63">
            <v>9266</v>
          </cell>
        </row>
        <row r="64">
          <cell r="U64">
            <v>5102</v>
          </cell>
        </row>
        <row r="65">
          <cell r="U65">
            <v>6725</v>
          </cell>
        </row>
        <row r="66">
          <cell r="U66">
            <v>3470</v>
          </cell>
        </row>
        <row r="67">
          <cell r="U67">
            <v>2122</v>
          </cell>
        </row>
        <row r="68">
          <cell r="U68">
            <v>2070</v>
          </cell>
        </row>
        <row r="69">
          <cell r="U69">
            <v>2429</v>
          </cell>
        </row>
        <row r="70">
          <cell r="U70">
            <v>8436</v>
          </cell>
        </row>
        <row r="71">
          <cell r="U71">
            <v>2065</v>
          </cell>
        </row>
        <row r="72">
          <cell r="U72">
            <v>4868</v>
          </cell>
        </row>
        <row r="73">
          <cell r="U73">
            <v>1798</v>
          </cell>
        </row>
        <row r="74">
          <cell r="U74">
            <v>3889</v>
          </cell>
        </row>
        <row r="105">
          <cell r="U105">
            <v>8244</v>
          </cell>
        </row>
        <row r="106">
          <cell r="U106">
            <v>362</v>
          </cell>
        </row>
        <row r="107">
          <cell r="U107">
            <v>369</v>
          </cell>
        </row>
        <row r="108">
          <cell r="U108">
            <v>397</v>
          </cell>
        </row>
        <row r="109">
          <cell r="U109">
            <v>386</v>
          </cell>
        </row>
        <row r="110">
          <cell r="U110">
            <v>59</v>
          </cell>
        </row>
        <row r="111">
          <cell r="U111">
            <v>364</v>
          </cell>
        </row>
        <row r="112">
          <cell r="U112">
            <v>126</v>
          </cell>
        </row>
        <row r="113">
          <cell r="U113">
            <v>568</v>
          </cell>
        </row>
        <row r="114">
          <cell r="U114">
            <v>618</v>
          </cell>
        </row>
        <row r="115">
          <cell r="U115">
            <v>240</v>
          </cell>
        </row>
        <row r="116">
          <cell r="U116">
            <v>330</v>
          </cell>
        </row>
        <row r="117">
          <cell r="U117">
            <v>196</v>
          </cell>
        </row>
        <row r="118">
          <cell r="U118">
            <v>202</v>
          </cell>
        </row>
        <row r="119">
          <cell r="U119">
            <v>186</v>
          </cell>
        </row>
        <row r="120">
          <cell r="U120">
            <v>366</v>
          </cell>
        </row>
        <row r="121">
          <cell r="U121">
            <v>216</v>
          </cell>
        </row>
        <row r="122">
          <cell r="U122">
            <v>243</v>
          </cell>
        </row>
        <row r="123">
          <cell r="U123">
            <v>241</v>
          </cell>
        </row>
        <row r="124">
          <cell r="U124">
            <v>520</v>
          </cell>
        </row>
        <row r="125">
          <cell r="U125">
            <v>601</v>
          </cell>
        </row>
        <row r="126">
          <cell r="U126">
            <v>596</v>
          </cell>
        </row>
        <row r="127">
          <cell r="U127">
            <v>553</v>
          </cell>
        </row>
        <row r="128">
          <cell r="U128">
            <v>563</v>
          </cell>
        </row>
        <row r="129">
          <cell r="U129">
            <v>595</v>
          </cell>
        </row>
        <row r="130">
          <cell r="U130">
            <v>665</v>
          </cell>
        </row>
        <row r="131">
          <cell r="U131">
            <v>402</v>
          </cell>
        </row>
        <row r="132">
          <cell r="U132">
            <v>769</v>
          </cell>
        </row>
        <row r="133">
          <cell r="U133">
            <v>401</v>
          </cell>
        </row>
        <row r="134">
          <cell r="U134">
            <v>505</v>
          </cell>
        </row>
        <row r="135">
          <cell r="U135">
            <v>601</v>
          </cell>
        </row>
        <row r="136">
          <cell r="U136">
            <v>577</v>
          </cell>
        </row>
        <row r="137">
          <cell r="U137">
            <v>446</v>
          </cell>
        </row>
        <row r="138">
          <cell r="U138">
            <v>505</v>
          </cell>
        </row>
        <row r="139">
          <cell r="U139">
            <v>881</v>
          </cell>
        </row>
        <row r="141">
          <cell r="U141">
            <v>322</v>
          </cell>
        </row>
        <row r="142">
          <cell r="U142">
            <v>402</v>
          </cell>
        </row>
        <row r="143">
          <cell r="U143">
            <v>351</v>
          </cell>
        </row>
        <row r="144">
          <cell r="U144">
            <v>462</v>
          </cell>
        </row>
        <row r="145">
          <cell r="U145">
            <v>379</v>
          </cell>
        </row>
        <row r="146">
          <cell r="U146">
            <v>301</v>
          </cell>
        </row>
        <row r="147">
          <cell r="U147">
            <v>141</v>
          </cell>
        </row>
        <row r="148">
          <cell r="U148">
            <v>105</v>
          </cell>
        </row>
        <row r="149">
          <cell r="U149">
            <v>492</v>
          </cell>
        </row>
        <row r="150">
          <cell r="U150">
            <v>318</v>
          </cell>
        </row>
        <row r="151">
          <cell r="U151">
            <v>414</v>
          </cell>
        </row>
        <row r="158">
          <cell r="U158">
            <v>27022</v>
          </cell>
        </row>
        <row r="159">
          <cell r="U159">
            <v>422</v>
          </cell>
        </row>
        <row r="160">
          <cell r="U160">
            <v>265</v>
          </cell>
        </row>
        <row r="161">
          <cell r="U161">
            <v>264</v>
          </cell>
        </row>
        <row r="162">
          <cell r="U162">
            <v>331</v>
          </cell>
        </row>
        <row r="163">
          <cell r="U163">
            <v>356</v>
          </cell>
        </row>
        <row r="164">
          <cell r="U164">
            <v>131</v>
          </cell>
        </row>
        <row r="166">
          <cell r="U166">
            <v>399</v>
          </cell>
        </row>
        <row r="167">
          <cell r="U167">
            <v>2318</v>
          </cell>
        </row>
        <row r="168">
          <cell r="U168">
            <v>304</v>
          </cell>
        </row>
        <row r="169">
          <cell r="U169">
            <v>304</v>
          </cell>
        </row>
        <row r="170">
          <cell r="U170">
            <v>207</v>
          </cell>
        </row>
        <row r="171">
          <cell r="U171">
            <v>444</v>
          </cell>
        </row>
        <row r="172">
          <cell r="U172">
            <v>651</v>
          </cell>
        </row>
        <row r="173">
          <cell r="U173">
            <v>354</v>
          </cell>
        </row>
        <row r="174">
          <cell r="U174">
            <v>354</v>
          </cell>
        </row>
        <row r="191">
          <cell r="U191">
            <v>1355</v>
          </cell>
        </row>
        <row r="192">
          <cell r="U192">
            <v>295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actors"/>
      <sheetName val="Summary of Simulation"/>
      <sheetName val="Table 1 State Summary"/>
      <sheetName val="Table 2 Distributions &amp; Adjust"/>
      <sheetName val="Table 2A EFTs"/>
      <sheetName val="Table 3 Levels 1&amp;2"/>
      <sheetName val="Table 4 Level 3"/>
      <sheetName val="Table 4A Stipends"/>
      <sheetName val="Table 5A Lab Schools"/>
      <sheetName val="Table 5B1_RSD_Orleans"/>
      <sheetName val="Table 5B2_RSD_LA"/>
      <sheetName val="Table 5C1 - Madison Prep"/>
      <sheetName val="Table 5C2 - D'Arbonne"/>
      <sheetName val="Table 5C3 - VIBE"/>
      <sheetName val="Table 5D_OJJ"/>
      <sheetName val="Table 6 (Local Deduct Calc.)"/>
      <sheetName val="Table 7 Local Revenue"/>
      <sheetName val="Table 8   2-1-10 Membership"/>
      <sheetName val="Table 3A-1 Cert Pay Req"/>
      <sheetName val="Table 3A-2 Cert Pay_Other LEAs"/>
    </sheetNames>
    <sheetDataSet>
      <sheetData sheetId="0"/>
      <sheetData sheetId="1"/>
      <sheetData sheetId="2"/>
      <sheetData sheetId="3"/>
      <sheetData sheetId="4"/>
      <sheetData sheetId="5"/>
      <sheetData sheetId="6">
        <row r="6">
          <cell r="F6">
            <v>0</v>
          </cell>
          <cell r="H6">
            <v>0</v>
          </cell>
        </row>
        <row r="7">
          <cell r="F7">
            <v>0</v>
          </cell>
          <cell r="H7">
            <v>0</v>
          </cell>
        </row>
        <row r="8">
          <cell r="F8">
            <v>0</v>
          </cell>
          <cell r="H8">
            <v>0</v>
          </cell>
        </row>
        <row r="9">
          <cell r="F9">
            <v>0</v>
          </cell>
          <cell r="H9">
            <v>0</v>
          </cell>
        </row>
        <row r="10">
          <cell r="F10">
            <v>0</v>
          </cell>
          <cell r="H10">
            <v>0</v>
          </cell>
        </row>
        <row r="11">
          <cell r="F11">
            <v>0</v>
          </cell>
          <cell r="H11">
            <v>0</v>
          </cell>
        </row>
        <row r="12">
          <cell r="F12">
            <v>0</v>
          </cell>
          <cell r="H12">
            <v>0</v>
          </cell>
        </row>
        <row r="13">
          <cell r="F13">
            <v>0</v>
          </cell>
          <cell r="H13">
            <v>0</v>
          </cell>
        </row>
        <row r="14">
          <cell r="F14">
            <v>0</v>
          </cell>
          <cell r="H14">
            <v>0</v>
          </cell>
        </row>
        <row r="15">
          <cell r="F15">
            <v>0</v>
          </cell>
          <cell r="H15">
            <v>0</v>
          </cell>
        </row>
        <row r="16">
          <cell r="F16">
            <v>0</v>
          </cell>
          <cell r="H16">
            <v>0</v>
          </cell>
        </row>
        <row r="17">
          <cell r="F17">
            <v>0</v>
          </cell>
          <cell r="H17">
            <v>0</v>
          </cell>
        </row>
        <row r="18">
          <cell r="F18">
            <v>0</v>
          </cell>
          <cell r="H18">
            <v>0</v>
          </cell>
        </row>
        <row r="19">
          <cell r="F19">
            <v>0</v>
          </cell>
          <cell r="H19">
            <v>0</v>
          </cell>
        </row>
        <row r="20">
          <cell r="F20">
            <v>-67326</v>
          </cell>
          <cell r="H20">
            <v>-22442</v>
          </cell>
        </row>
        <row r="21">
          <cell r="F21">
            <v>0</v>
          </cell>
          <cell r="H21">
            <v>0</v>
          </cell>
        </row>
        <row r="22">
          <cell r="F22">
            <v>-3604446</v>
          </cell>
          <cell r="H22">
            <v>-1201482</v>
          </cell>
        </row>
        <row r="23">
          <cell r="F23">
            <v>0</v>
          </cell>
          <cell r="H23">
            <v>0</v>
          </cell>
        </row>
        <row r="24">
          <cell r="F24">
            <v>0</v>
          </cell>
          <cell r="H24">
            <v>0</v>
          </cell>
        </row>
        <row r="25">
          <cell r="F25">
            <v>-52686</v>
          </cell>
          <cell r="H25">
            <v>-17562</v>
          </cell>
        </row>
        <row r="26">
          <cell r="F26">
            <v>0</v>
          </cell>
          <cell r="H26">
            <v>0</v>
          </cell>
        </row>
        <row r="27">
          <cell r="F27">
            <v>0</v>
          </cell>
          <cell r="H27">
            <v>0</v>
          </cell>
        </row>
        <row r="28">
          <cell r="F28">
            <v>0</v>
          </cell>
          <cell r="H28">
            <v>0</v>
          </cell>
        </row>
        <row r="29">
          <cell r="F29">
            <v>-230161</v>
          </cell>
          <cell r="H29">
            <v>-76720</v>
          </cell>
        </row>
        <row r="30">
          <cell r="F30">
            <v>0</v>
          </cell>
          <cell r="H30">
            <v>0</v>
          </cell>
        </row>
        <row r="31">
          <cell r="F31">
            <v>-2546773</v>
          </cell>
          <cell r="H31">
            <v>-848924</v>
          </cell>
        </row>
        <row r="32">
          <cell r="F32">
            <v>0</v>
          </cell>
          <cell r="H32">
            <v>0</v>
          </cell>
        </row>
        <row r="33">
          <cell r="F33">
            <v>0</v>
          </cell>
          <cell r="H33">
            <v>0</v>
          </cell>
        </row>
        <row r="34">
          <cell r="F34">
            <v>0</v>
          </cell>
          <cell r="H34">
            <v>0</v>
          </cell>
        </row>
        <row r="35">
          <cell r="F35">
            <v>0</v>
          </cell>
          <cell r="H35">
            <v>0</v>
          </cell>
        </row>
        <row r="36">
          <cell r="F36">
            <v>0</v>
          </cell>
          <cell r="H36">
            <v>0</v>
          </cell>
        </row>
        <row r="37">
          <cell r="F37">
            <v>0</v>
          </cell>
          <cell r="H37">
            <v>0</v>
          </cell>
        </row>
        <row r="38">
          <cell r="F38">
            <v>0</v>
          </cell>
          <cell r="H38">
            <v>0</v>
          </cell>
        </row>
        <row r="39">
          <cell r="F39">
            <v>0</v>
          </cell>
          <cell r="H39">
            <v>0</v>
          </cell>
        </row>
        <row r="40">
          <cell r="F40">
            <v>0</v>
          </cell>
          <cell r="H40">
            <v>0</v>
          </cell>
        </row>
        <row r="41">
          <cell r="F41">
            <v>0</v>
          </cell>
          <cell r="H41">
            <v>0</v>
          </cell>
        </row>
        <row r="42">
          <cell r="F42">
            <v>0</v>
          </cell>
          <cell r="H42">
            <v>0</v>
          </cell>
        </row>
        <row r="43">
          <cell r="F43">
            <v>-1238904</v>
          </cell>
          <cell r="H43">
            <v>-412968</v>
          </cell>
        </row>
        <row r="44">
          <cell r="F44">
            <v>0</v>
          </cell>
          <cell r="H44">
            <v>0</v>
          </cell>
        </row>
        <row r="45">
          <cell r="F45">
            <v>0</v>
          </cell>
          <cell r="H45">
            <v>0</v>
          </cell>
        </row>
        <row r="46">
          <cell r="F46">
            <v>0</v>
          </cell>
          <cell r="H46">
            <v>0</v>
          </cell>
        </row>
        <row r="47">
          <cell r="F47">
            <v>0</v>
          </cell>
          <cell r="H47">
            <v>0</v>
          </cell>
        </row>
        <row r="48">
          <cell r="F48">
            <v>0</v>
          </cell>
          <cell r="H48">
            <v>0</v>
          </cell>
        </row>
        <row r="49">
          <cell r="F49">
            <v>0</v>
          </cell>
          <cell r="H49">
            <v>0</v>
          </cell>
        </row>
        <row r="50">
          <cell r="F50">
            <v>-2872444</v>
          </cell>
          <cell r="H50">
            <v>-537733</v>
          </cell>
        </row>
        <row r="51">
          <cell r="F51">
            <v>0</v>
          </cell>
          <cell r="H51">
            <v>0</v>
          </cell>
        </row>
        <row r="52">
          <cell r="F52">
            <v>-237135</v>
          </cell>
          <cell r="H52">
            <v>-79045</v>
          </cell>
        </row>
        <row r="53">
          <cell r="F53">
            <v>0</v>
          </cell>
          <cell r="H53">
            <v>0</v>
          </cell>
        </row>
        <row r="54">
          <cell r="F54">
            <v>0</v>
          </cell>
          <cell r="H54">
            <v>0</v>
          </cell>
        </row>
        <row r="55">
          <cell r="F55">
            <v>0</v>
          </cell>
          <cell r="H55">
            <v>0</v>
          </cell>
        </row>
        <row r="56">
          <cell r="F56">
            <v>0</v>
          </cell>
          <cell r="H56">
            <v>0</v>
          </cell>
        </row>
        <row r="57">
          <cell r="F57">
            <v>0</v>
          </cell>
          <cell r="H57">
            <v>0</v>
          </cell>
        </row>
        <row r="58">
          <cell r="F58">
            <v>0</v>
          </cell>
          <cell r="H58">
            <v>0</v>
          </cell>
        </row>
        <row r="59">
          <cell r="F59">
            <v>0</v>
          </cell>
          <cell r="H59">
            <v>0</v>
          </cell>
        </row>
        <row r="60">
          <cell r="F60">
            <v>0</v>
          </cell>
          <cell r="H60">
            <v>0</v>
          </cell>
        </row>
        <row r="61">
          <cell r="F61">
            <v>0</v>
          </cell>
          <cell r="H61">
            <v>0</v>
          </cell>
        </row>
        <row r="62">
          <cell r="F62">
            <v>0</v>
          </cell>
          <cell r="H62">
            <v>0</v>
          </cell>
        </row>
        <row r="63">
          <cell r="F63">
            <v>0</v>
          </cell>
          <cell r="H63">
            <v>0</v>
          </cell>
        </row>
        <row r="64">
          <cell r="F64">
            <v>0</v>
          </cell>
          <cell r="H64">
            <v>0</v>
          </cell>
        </row>
        <row r="65">
          <cell r="F65">
            <v>0</v>
          </cell>
          <cell r="H65">
            <v>0</v>
          </cell>
        </row>
        <row r="66">
          <cell r="F66">
            <v>0</v>
          </cell>
          <cell r="H66">
            <v>0</v>
          </cell>
        </row>
        <row r="67">
          <cell r="F67">
            <v>0</v>
          </cell>
          <cell r="H67">
            <v>0</v>
          </cell>
        </row>
        <row r="68">
          <cell r="F68">
            <v>-1568460</v>
          </cell>
          <cell r="H68">
            <v>-522820</v>
          </cell>
        </row>
        <row r="69">
          <cell r="F69">
            <v>0</v>
          </cell>
          <cell r="H69">
            <v>0</v>
          </cell>
        </row>
        <row r="70">
          <cell r="F70">
            <v>0</v>
          </cell>
          <cell r="H70">
            <v>0</v>
          </cell>
        </row>
        <row r="71">
          <cell r="F71">
            <v>0</v>
          </cell>
          <cell r="H71">
            <v>0</v>
          </cell>
        </row>
        <row r="72">
          <cell r="F72">
            <v>0</v>
          </cell>
          <cell r="H72">
            <v>0</v>
          </cell>
        </row>
        <row r="73">
          <cell r="F73">
            <v>0</v>
          </cell>
          <cell r="H73">
            <v>0</v>
          </cell>
        </row>
        <row r="74">
          <cell r="F74">
            <v>0</v>
          </cell>
          <cell r="H74">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actors"/>
      <sheetName val="Summary of Simulation 1"/>
      <sheetName val="Table 1 State Summary"/>
      <sheetName val="Table 2 Distributions &amp; Adjust"/>
      <sheetName val="Table 3 Levels 1&amp;2"/>
      <sheetName val="Table 4 Level 3"/>
      <sheetName val="Table 4A Stipends"/>
      <sheetName val="Table 5A Lab Schools"/>
      <sheetName val="Table 5B1_RSD_Orleans"/>
      <sheetName val="Table 5B2_RSD_LA"/>
      <sheetName val="Table 5C_Type 2"/>
      <sheetName val="Table 6 (Local Deduct Calc.)"/>
      <sheetName val="Table 7 Local Revenue"/>
      <sheetName val="Table 8 Membership, 2.1.09"/>
      <sheetName val="Table 3A Cert Pay Req"/>
    </sheetNames>
    <sheetDataSet>
      <sheetData sheetId="0"/>
      <sheetData sheetId="1"/>
      <sheetData sheetId="2"/>
      <sheetData sheetId="3"/>
      <sheetData sheetId="4"/>
      <sheetData sheetId="5" refreshError="1">
        <row r="6">
          <cell r="C6">
            <v>364.58000000000004</v>
          </cell>
          <cell r="W6">
            <v>233.06</v>
          </cell>
          <cell r="AA6">
            <v>78.56</v>
          </cell>
          <cell r="AE6">
            <v>101.28</v>
          </cell>
        </row>
        <row r="7">
          <cell r="C7">
            <v>364.17</v>
          </cell>
          <cell r="W7">
            <v>280.05</v>
          </cell>
          <cell r="AA7">
            <v>72.47</v>
          </cell>
          <cell r="AE7">
            <v>125.63</v>
          </cell>
        </row>
        <row r="8">
          <cell r="C8">
            <v>199.22000000000003</v>
          </cell>
          <cell r="W8">
            <v>237.12</v>
          </cell>
          <cell r="AA8">
            <v>59.25</v>
          </cell>
          <cell r="AE8">
            <v>101.25</v>
          </cell>
        </row>
        <row r="9">
          <cell r="C9">
            <v>243.81</v>
          </cell>
          <cell r="W9">
            <v>256.11</v>
          </cell>
          <cell r="AA9">
            <v>85.84</v>
          </cell>
          <cell r="AE9">
            <v>0</v>
          </cell>
        </row>
        <row r="10">
          <cell r="C10">
            <v>294.90000000000003</v>
          </cell>
          <cell r="W10">
            <v>203.09</v>
          </cell>
          <cell r="AA10">
            <v>57.92</v>
          </cell>
          <cell r="AE10">
            <v>0</v>
          </cell>
        </row>
        <row r="11">
          <cell r="C11">
            <v>237.42999999999998</v>
          </cell>
          <cell r="W11">
            <v>235.13</v>
          </cell>
          <cell r="AA11">
            <v>72.92</v>
          </cell>
          <cell r="AE11">
            <v>0</v>
          </cell>
        </row>
        <row r="12">
          <cell r="C12">
            <v>258.89</v>
          </cell>
          <cell r="W12">
            <v>279.94</v>
          </cell>
          <cell r="AA12">
            <v>92.42</v>
          </cell>
          <cell r="AE12">
            <v>125.67</v>
          </cell>
        </row>
        <row r="13">
          <cell r="C13">
            <v>339.5</v>
          </cell>
          <cell r="W13">
            <v>224.31</v>
          </cell>
          <cell r="AA13">
            <v>63.1</v>
          </cell>
          <cell r="AE13">
            <v>98.85</v>
          </cell>
        </row>
        <row r="14">
          <cell r="C14">
            <v>314.45999999999998</v>
          </cell>
          <cell r="W14">
            <v>241.96</v>
          </cell>
          <cell r="AA14">
            <v>82.57</v>
          </cell>
          <cell r="AE14">
            <v>105.77</v>
          </cell>
        </row>
        <row r="15">
          <cell r="C15">
            <v>255</v>
          </cell>
          <cell r="W15">
            <v>267.47000000000003</v>
          </cell>
          <cell r="AA15">
            <v>73.58</v>
          </cell>
          <cell r="AE15">
            <v>11.99</v>
          </cell>
        </row>
        <row r="16">
          <cell r="C16">
            <v>282.63</v>
          </cell>
          <cell r="W16">
            <v>259.48</v>
          </cell>
          <cell r="AA16">
            <v>93.76</v>
          </cell>
          <cell r="AE16">
            <v>70.680000000000007</v>
          </cell>
        </row>
        <row r="17">
          <cell r="C17">
            <v>464.27</v>
          </cell>
          <cell r="W17">
            <v>330.46</v>
          </cell>
          <cell r="AA17">
            <v>94.78</v>
          </cell>
          <cell r="AE17">
            <v>173.8</v>
          </cell>
        </row>
        <row r="18">
          <cell r="C18">
            <v>307.36</v>
          </cell>
          <cell r="W18">
            <v>255.85</v>
          </cell>
          <cell r="AA18">
            <v>96.99</v>
          </cell>
          <cell r="AE18">
            <v>89.23</v>
          </cell>
        </row>
        <row r="19">
          <cell r="C19">
            <v>345.87</v>
          </cell>
          <cell r="W19">
            <v>273.91000000000003</v>
          </cell>
          <cell r="AA19">
            <v>94.04</v>
          </cell>
          <cell r="AE19">
            <v>96.16</v>
          </cell>
        </row>
        <row r="20">
          <cell r="C20">
            <v>225.22</v>
          </cell>
          <cell r="W20">
            <v>250.78</v>
          </cell>
          <cell r="AA20">
            <v>77.8</v>
          </cell>
          <cell r="AE20">
            <v>0</v>
          </cell>
        </row>
        <row r="21">
          <cell r="C21">
            <v>236.82</v>
          </cell>
          <cell r="W21">
            <v>248.5</v>
          </cell>
          <cell r="AA21">
            <v>90.83</v>
          </cell>
          <cell r="AE21">
            <v>110.58</v>
          </cell>
        </row>
        <row r="23">
          <cell r="C23">
            <v>330.49</v>
          </cell>
          <cell r="W23">
            <v>280</v>
          </cell>
          <cell r="AA23">
            <v>121.42</v>
          </cell>
          <cell r="AE23">
            <v>114.04</v>
          </cell>
        </row>
        <row r="24">
          <cell r="C24">
            <v>412.85</v>
          </cell>
          <cell r="W24">
            <v>285.17</v>
          </cell>
          <cell r="AA24">
            <v>90.36</v>
          </cell>
          <cell r="AE24">
            <v>117.05</v>
          </cell>
        </row>
        <row r="25">
          <cell r="C25">
            <v>219.62</v>
          </cell>
          <cell r="W25">
            <v>260.83</v>
          </cell>
          <cell r="AA25">
            <v>71.47</v>
          </cell>
          <cell r="AE25">
            <v>34.25</v>
          </cell>
        </row>
        <row r="26">
          <cell r="C26">
            <v>293.52999999999997</v>
          </cell>
          <cell r="W26">
            <v>220.86</v>
          </cell>
          <cell r="AA26">
            <v>87.14</v>
          </cell>
          <cell r="AE26">
            <v>8.82</v>
          </cell>
        </row>
        <row r="27">
          <cell r="C27">
            <v>204.48000000000002</v>
          </cell>
          <cell r="W27">
            <v>222.61</v>
          </cell>
          <cell r="AA27">
            <v>69.27</v>
          </cell>
          <cell r="AE27">
            <v>0</v>
          </cell>
        </row>
        <row r="28">
          <cell r="C28">
            <v>265.32</v>
          </cell>
          <cell r="W28">
            <v>252.99</v>
          </cell>
          <cell r="AA28">
            <v>61.82</v>
          </cell>
          <cell r="AE28">
            <v>108.45</v>
          </cell>
        </row>
        <row r="29">
          <cell r="C29">
            <v>393.57999999999993</v>
          </cell>
          <cell r="W29">
            <v>259.83</v>
          </cell>
          <cell r="AA29">
            <v>78.180000000000007</v>
          </cell>
          <cell r="AE29">
            <v>122.66</v>
          </cell>
        </row>
        <row r="30">
          <cell r="C30">
            <v>225.5</v>
          </cell>
          <cell r="W30">
            <v>247.58</v>
          </cell>
          <cell r="AA30">
            <v>77.55</v>
          </cell>
          <cell r="AE30">
            <v>103.1</v>
          </cell>
        </row>
        <row r="31">
          <cell r="C31">
            <v>385.00000000000006</v>
          </cell>
          <cell r="W31">
            <v>263.72000000000003</v>
          </cell>
          <cell r="AA31">
            <v>75.69</v>
          </cell>
          <cell r="AE31">
            <v>112.42</v>
          </cell>
        </row>
        <row r="32">
          <cell r="C32">
            <v>276.40999999999997</v>
          </cell>
          <cell r="W32">
            <v>237.1</v>
          </cell>
          <cell r="AA32">
            <v>76.12</v>
          </cell>
          <cell r="AE32">
            <v>103.43</v>
          </cell>
        </row>
        <row r="33">
          <cell r="C33">
            <v>272.51</v>
          </cell>
          <cell r="W33">
            <v>249</v>
          </cell>
          <cell r="AA33">
            <v>65.489999999999995</v>
          </cell>
          <cell r="AE33">
            <v>107.4</v>
          </cell>
        </row>
        <row r="34">
          <cell r="C34">
            <v>297.77</v>
          </cell>
          <cell r="W34">
            <v>261.27999999999997</v>
          </cell>
          <cell r="AA34">
            <v>83.42</v>
          </cell>
          <cell r="AE34">
            <v>112.48</v>
          </cell>
        </row>
        <row r="35">
          <cell r="C35">
            <v>282.3</v>
          </cell>
          <cell r="W35">
            <v>248.57</v>
          </cell>
          <cell r="AA35">
            <v>89.02</v>
          </cell>
          <cell r="AE35">
            <v>107.28</v>
          </cell>
        </row>
        <row r="36">
          <cell r="C36">
            <v>202.25</v>
          </cell>
          <cell r="W36">
            <v>250.06</v>
          </cell>
          <cell r="AA36">
            <v>60.29</v>
          </cell>
          <cell r="AE36">
            <v>108.23</v>
          </cell>
        </row>
        <row r="37">
          <cell r="C37">
            <v>184.17000000000002</v>
          </cell>
          <cell r="W37">
            <v>217.36</v>
          </cell>
          <cell r="AA37">
            <v>61.63</v>
          </cell>
          <cell r="AE37">
            <v>96.61</v>
          </cell>
        </row>
        <row r="38">
          <cell r="C38">
            <v>369.71999999999997</v>
          </cell>
          <cell r="W38">
            <v>195.76</v>
          </cell>
          <cell r="AA38">
            <v>89.83</v>
          </cell>
          <cell r="AE38">
            <v>0</v>
          </cell>
        </row>
        <row r="39">
          <cell r="C39">
            <v>307.33000000000004</v>
          </cell>
          <cell r="W39">
            <v>249.09</v>
          </cell>
          <cell r="AA39">
            <v>67</v>
          </cell>
          <cell r="AE39">
            <v>20.69</v>
          </cell>
        </row>
        <row r="40">
          <cell r="C40">
            <v>242.8</v>
          </cell>
          <cell r="W40">
            <v>225.08</v>
          </cell>
          <cell r="AA40">
            <v>50.72</v>
          </cell>
          <cell r="AE40">
            <v>19.36</v>
          </cell>
        </row>
        <row r="42">
          <cell r="C42">
            <v>217.32000000000002</v>
          </cell>
          <cell r="W42">
            <v>248.18</v>
          </cell>
          <cell r="AA42">
            <v>83.53</v>
          </cell>
          <cell r="AE42">
            <v>104.58</v>
          </cell>
        </row>
        <row r="43">
          <cell r="C43">
            <v>321.78999999999996</v>
          </cell>
          <cell r="W43">
            <v>278.51</v>
          </cell>
          <cell r="AA43">
            <v>111.69</v>
          </cell>
          <cell r="AE43">
            <v>117.93</v>
          </cell>
        </row>
        <row r="45">
          <cell r="C45">
            <v>379.95000000000005</v>
          </cell>
          <cell r="W45">
            <v>247.95</v>
          </cell>
          <cell r="AA45">
            <v>72.37</v>
          </cell>
          <cell r="AE45">
            <v>0</v>
          </cell>
        </row>
        <row r="46">
          <cell r="C46">
            <v>454.65</v>
          </cell>
          <cell r="W46">
            <v>282.58</v>
          </cell>
          <cell r="AA46">
            <v>100.98</v>
          </cell>
          <cell r="AE46">
            <v>48.01</v>
          </cell>
        </row>
        <row r="47">
          <cell r="C47">
            <v>210.82</v>
          </cell>
          <cell r="W47">
            <v>245.64</v>
          </cell>
          <cell r="AA47">
            <v>77.819999999999993</v>
          </cell>
          <cell r="AE47">
            <v>0</v>
          </cell>
        </row>
        <row r="48">
          <cell r="C48">
            <v>227.98</v>
          </cell>
          <cell r="W48">
            <v>258.7</v>
          </cell>
          <cell r="AA48">
            <v>87.93</v>
          </cell>
          <cell r="AE48">
            <v>0</v>
          </cell>
        </row>
        <row r="49">
          <cell r="C49">
            <v>205.89999999999998</v>
          </cell>
          <cell r="W49">
            <v>267.42</v>
          </cell>
          <cell r="AA49">
            <v>65.39</v>
          </cell>
          <cell r="AE49">
            <v>124.45</v>
          </cell>
        </row>
        <row r="50">
          <cell r="C50">
            <v>250.63000000000002</v>
          </cell>
          <cell r="W50">
            <v>295.05</v>
          </cell>
          <cell r="AA50">
            <v>82.45</v>
          </cell>
          <cell r="AE50">
            <v>125.83</v>
          </cell>
        </row>
        <row r="51">
          <cell r="C51">
            <v>378.38</v>
          </cell>
          <cell r="W51">
            <v>220.6</v>
          </cell>
          <cell r="AA51">
            <v>80.39</v>
          </cell>
          <cell r="AE51">
            <v>48.69</v>
          </cell>
        </row>
        <row r="52">
          <cell r="C52">
            <v>429.57</v>
          </cell>
          <cell r="W52">
            <v>283.55</v>
          </cell>
          <cell r="AA52">
            <v>70.5</v>
          </cell>
          <cell r="AE52">
            <v>127.14</v>
          </cell>
        </row>
        <row r="53">
          <cell r="C53">
            <v>404.09000000000003</v>
          </cell>
          <cell r="W53">
            <v>276.75</v>
          </cell>
          <cell r="AA53">
            <v>65.38</v>
          </cell>
          <cell r="AE53">
            <v>124.85</v>
          </cell>
        </row>
        <row r="54">
          <cell r="C54">
            <v>220.3</v>
          </cell>
          <cell r="W54">
            <v>239.03</v>
          </cell>
          <cell r="AA54">
            <v>73.680000000000007</v>
          </cell>
          <cell r="AE54">
            <v>41.43</v>
          </cell>
        </row>
        <row r="55">
          <cell r="C55">
            <v>240.62000000000003</v>
          </cell>
          <cell r="W55">
            <v>228.19</v>
          </cell>
          <cell r="AA55">
            <v>68.62</v>
          </cell>
          <cell r="AE55">
            <v>97.03</v>
          </cell>
        </row>
        <row r="56">
          <cell r="C56">
            <v>251.76999999999998</v>
          </cell>
          <cell r="W56">
            <v>261.83</v>
          </cell>
          <cell r="AA56">
            <v>78.08</v>
          </cell>
          <cell r="AE56">
            <v>114.98</v>
          </cell>
        </row>
        <row r="57">
          <cell r="C57">
            <v>228.71</v>
          </cell>
          <cell r="W57">
            <v>250.58</v>
          </cell>
          <cell r="AA57">
            <v>72.23</v>
          </cell>
          <cell r="AE57">
            <v>106.85</v>
          </cell>
        </row>
        <row r="58">
          <cell r="C58">
            <v>316.79999999999995</v>
          </cell>
          <cell r="W58">
            <v>209.25</v>
          </cell>
          <cell r="AA58">
            <v>70.930000000000007</v>
          </cell>
          <cell r="AE58">
            <v>92.76</v>
          </cell>
        </row>
        <row r="59">
          <cell r="C59">
            <v>441.84</v>
          </cell>
          <cell r="W59">
            <v>304.62</v>
          </cell>
          <cell r="AA59">
            <v>126.54</v>
          </cell>
          <cell r="AE59">
            <v>78.45</v>
          </cell>
        </row>
        <row r="60">
          <cell r="C60">
            <v>362.38</v>
          </cell>
          <cell r="W60">
            <v>257.63</v>
          </cell>
          <cell r="AA60">
            <v>60.89</v>
          </cell>
          <cell r="AE60">
            <v>114.24</v>
          </cell>
        </row>
        <row r="61">
          <cell r="C61">
            <v>201.42000000000002</v>
          </cell>
          <cell r="W61">
            <v>231.32</v>
          </cell>
          <cell r="AA61">
            <v>82.47</v>
          </cell>
          <cell r="AE61">
            <v>99.45</v>
          </cell>
        </row>
        <row r="62">
          <cell r="C62">
            <v>366.97</v>
          </cell>
          <cell r="W62">
            <v>247.44</v>
          </cell>
          <cell r="AA62">
            <v>58.81</v>
          </cell>
          <cell r="AE62">
            <v>91.29</v>
          </cell>
        </row>
        <row r="63">
          <cell r="C63">
            <v>373.68</v>
          </cell>
          <cell r="W63">
            <v>236.35</v>
          </cell>
          <cell r="AA63">
            <v>79.819999999999993</v>
          </cell>
          <cell r="AE63">
            <v>7.19</v>
          </cell>
        </row>
        <row r="64">
          <cell r="C64">
            <v>354.32999999999993</v>
          </cell>
          <cell r="W64">
            <v>249.11</v>
          </cell>
          <cell r="AA64">
            <v>84.24</v>
          </cell>
          <cell r="AE64">
            <v>1.84</v>
          </cell>
        </row>
        <row r="65">
          <cell r="C65">
            <v>212.15</v>
          </cell>
          <cell r="W65">
            <v>220.92</v>
          </cell>
          <cell r="AA65">
            <v>64.73</v>
          </cell>
          <cell r="AE65">
            <v>96.24</v>
          </cell>
        </row>
        <row r="66">
          <cell r="C66">
            <v>385.32</v>
          </cell>
          <cell r="W66">
            <v>261.69</v>
          </cell>
          <cell r="AA66">
            <v>63.31</v>
          </cell>
          <cell r="AE66">
            <v>123.39</v>
          </cell>
        </row>
        <row r="67">
          <cell r="C67">
            <v>214.59</v>
          </cell>
          <cell r="W67">
            <v>239.4</v>
          </cell>
          <cell r="AA67">
            <v>62.09</v>
          </cell>
          <cell r="AE67">
            <v>0</v>
          </cell>
        </row>
        <row r="68">
          <cell r="C68">
            <v>248.8</v>
          </cell>
          <cell r="W68">
            <v>292.76</v>
          </cell>
          <cell r="AA68">
            <v>85.55</v>
          </cell>
          <cell r="AE68">
            <v>129.68</v>
          </cell>
        </row>
        <row r="69">
          <cell r="C69">
            <v>269.21999999999997</v>
          </cell>
          <cell r="W69">
            <v>235.44</v>
          </cell>
          <cell r="AA69">
            <v>88</v>
          </cell>
          <cell r="AE69">
            <v>0</v>
          </cell>
        </row>
        <row r="70">
          <cell r="C70">
            <v>383.59000000000003</v>
          </cell>
          <cell r="W70">
            <v>246.18</v>
          </cell>
          <cell r="AA70">
            <v>89.24</v>
          </cell>
          <cell r="AE70">
            <v>110.11</v>
          </cell>
        </row>
        <row r="71">
          <cell r="C71">
            <v>238.75</v>
          </cell>
          <cell r="W71">
            <v>276.27999999999997</v>
          </cell>
          <cell r="AA71">
            <v>102.41</v>
          </cell>
          <cell r="AE71">
            <v>112.62</v>
          </cell>
        </row>
        <row r="72">
          <cell r="C72">
            <v>358.01</v>
          </cell>
          <cell r="W72">
            <v>223.76</v>
          </cell>
          <cell r="AA72">
            <v>39.22</v>
          </cell>
          <cell r="AE72">
            <v>94.62</v>
          </cell>
        </row>
        <row r="73">
          <cell r="C73">
            <v>388.91</v>
          </cell>
          <cell r="W73">
            <v>242.93</v>
          </cell>
          <cell r="AA73">
            <v>66.540000000000006</v>
          </cell>
          <cell r="AE73">
            <v>100.32</v>
          </cell>
        </row>
        <row r="74">
          <cell r="C74">
            <v>379.13</v>
          </cell>
          <cell r="W74">
            <v>203.4</v>
          </cell>
          <cell r="AA74">
            <v>28.64</v>
          </cell>
          <cell r="AE74">
            <v>94.5</v>
          </cell>
        </row>
        <row r="75">
          <cell r="C75">
            <v>303.87</v>
          </cell>
        </row>
      </sheetData>
      <sheetData sheetId="6"/>
      <sheetData sheetId="7" refreshError="1">
        <row r="8">
          <cell r="G8">
            <v>196</v>
          </cell>
          <cell r="K8">
            <v>23</v>
          </cell>
        </row>
        <row r="9">
          <cell r="G9">
            <v>217</v>
          </cell>
          <cell r="K9">
            <v>59</v>
          </cell>
        </row>
        <row r="17">
          <cell r="D17">
            <v>83.101858736059484</v>
          </cell>
        </row>
        <row r="18">
          <cell r="D18">
            <v>120.02832861189802</v>
          </cell>
        </row>
      </sheetData>
      <sheetData sheetId="8">
        <row r="6">
          <cell r="H6">
            <v>259.82062072593374</v>
          </cell>
        </row>
      </sheetData>
      <sheetData sheetId="9" refreshError="1"/>
      <sheetData sheetId="10"/>
      <sheetData sheetId="11"/>
      <sheetData sheetId="12" refreshError="1"/>
      <sheetData sheetId="13"/>
      <sheetData sheetId="1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actors"/>
      <sheetName val="Summary of Simulation "/>
      <sheetName val="Table 1 State Summary "/>
      <sheetName val="Table 2 Distributions &amp; Adjust"/>
      <sheetName val="Table 2A EFTs"/>
      <sheetName val="Table 3 Levels 1&amp;2"/>
      <sheetName val="Table 4 Level 3"/>
      <sheetName val="Table 4A Stipends"/>
      <sheetName val="Table 5A1 Labs NOCCA LSMSA"/>
      <sheetName val="Table 5B1_RSD_Orleans"/>
      <sheetName val="Table 5B2_RSD_LA"/>
      <sheetName val="Table 5C1 - Type 2s"/>
      <sheetName val="Table 5C2 - LA Virtual Admy "/>
      <sheetName val="Table 5C3 - LA Connections  "/>
      <sheetName val="Table 5D - Legacy Type 2"/>
      <sheetName val="Table 5E_OJJ"/>
      <sheetName val="Table 6 (Local Deduct Calc.)"/>
      <sheetName val="Table 7 Local Revenue"/>
      <sheetName val="Table 8   2-1-10 Membership"/>
      <sheetName val="October midyear adj"/>
      <sheetName val="Oct midyear adj_LA virtual"/>
      <sheetName val="Oct midyear adj_Connections"/>
      <sheetName val="Oct midyear adj_OJJ"/>
      <sheetName val="10.1.11_MFP &amp; Funded Membership"/>
      <sheetName val="10.1.11_location or residence"/>
      <sheetName val="10.1.11_RSD-LA"/>
      <sheetName val="10.1.11_RSD-NO"/>
      <sheetName val="10.1.11_State-Operated"/>
    </sheetNames>
    <sheetDataSet>
      <sheetData sheetId="0"/>
      <sheetData sheetId="1"/>
      <sheetData sheetId="2"/>
      <sheetData sheetId="3"/>
      <sheetData sheetId="4"/>
      <sheetData sheetId="5"/>
      <sheetData sheetId="6"/>
      <sheetData sheetId="7"/>
      <sheetData sheetId="8">
        <row r="8">
          <cell r="K8">
            <v>-4348</v>
          </cell>
        </row>
        <row r="9">
          <cell r="K9">
            <v>-973</v>
          </cell>
        </row>
      </sheetData>
      <sheetData sheetId="9">
        <row r="6">
          <cell r="K6">
            <v>-26059</v>
          </cell>
        </row>
        <row r="8">
          <cell r="K8">
            <v>-21311</v>
          </cell>
        </row>
        <row r="11">
          <cell r="K11">
            <v>-928</v>
          </cell>
        </row>
        <row r="12">
          <cell r="K12">
            <v>-941</v>
          </cell>
        </row>
        <row r="13">
          <cell r="K13">
            <v>-1006</v>
          </cell>
        </row>
        <row r="14">
          <cell r="K14">
            <v>-964</v>
          </cell>
        </row>
        <row r="15">
          <cell r="K15">
            <v>-154</v>
          </cell>
        </row>
        <row r="16">
          <cell r="K16">
            <v>-942</v>
          </cell>
        </row>
        <row r="17">
          <cell r="K17">
            <v>-323</v>
          </cell>
        </row>
        <row r="18">
          <cell r="K18">
            <v>-1465</v>
          </cell>
        </row>
        <row r="19">
          <cell r="K19">
            <v>-1603</v>
          </cell>
        </row>
        <row r="20">
          <cell r="K20">
            <v>-614</v>
          </cell>
        </row>
        <row r="21">
          <cell r="K21">
            <v>-842</v>
          </cell>
        </row>
        <row r="22">
          <cell r="K22">
            <v>-503</v>
          </cell>
        </row>
        <row r="23">
          <cell r="K23">
            <v>-505</v>
          </cell>
        </row>
        <row r="24">
          <cell r="K24">
            <v>-495</v>
          </cell>
        </row>
        <row r="25">
          <cell r="K25">
            <v>-928</v>
          </cell>
        </row>
        <row r="26">
          <cell r="K26">
            <v>-555</v>
          </cell>
        </row>
        <row r="27">
          <cell r="K27">
            <v>-584</v>
          </cell>
        </row>
        <row r="28">
          <cell r="K28">
            <v>-627</v>
          </cell>
        </row>
        <row r="29">
          <cell r="K29">
            <v>-1341</v>
          </cell>
        </row>
        <row r="30">
          <cell r="K30">
            <v>-1489</v>
          </cell>
        </row>
        <row r="31">
          <cell r="K31">
            <v>-1497</v>
          </cell>
        </row>
        <row r="32">
          <cell r="K32">
            <v>-1410</v>
          </cell>
        </row>
        <row r="33">
          <cell r="K33">
            <v>-1447.9423698413395</v>
          </cell>
        </row>
        <row r="34">
          <cell r="K34">
            <v>-1507</v>
          </cell>
        </row>
        <row r="35">
          <cell r="K35">
            <v>-1690</v>
          </cell>
        </row>
        <row r="36">
          <cell r="K36">
            <v>-994</v>
          </cell>
        </row>
        <row r="37">
          <cell r="K37">
            <v>-1963</v>
          </cell>
        </row>
        <row r="38">
          <cell r="K38">
            <v>-993</v>
          </cell>
        </row>
        <row r="39">
          <cell r="K39">
            <v>-1262</v>
          </cell>
        </row>
        <row r="40">
          <cell r="K40">
            <v>-1504</v>
          </cell>
        </row>
        <row r="41">
          <cell r="K41">
            <v>-1459</v>
          </cell>
        </row>
        <row r="42">
          <cell r="K42">
            <v>-1169</v>
          </cell>
        </row>
        <row r="43">
          <cell r="K43">
            <v>-1398</v>
          </cell>
        </row>
        <row r="44">
          <cell r="K44">
            <v>-2153</v>
          </cell>
        </row>
        <row r="45">
          <cell r="K45">
            <v>-866</v>
          </cell>
        </row>
        <row r="46">
          <cell r="K46">
            <v>-1029</v>
          </cell>
        </row>
        <row r="47">
          <cell r="K47">
            <v>-869</v>
          </cell>
        </row>
        <row r="48">
          <cell r="K48">
            <v>-1178</v>
          </cell>
        </row>
        <row r="49">
          <cell r="K49">
            <v>-940</v>
          </cell>
        </row>
        <row r="50">
          <cell r="K50">
            <v>-768</v>
          </cell>
        </row>
        <row r="51">
          <cell r="K51">
            <v>-361</v>
          </cell>
        </row>
        <row r="52">
          <cell r="K52">
            <v>-274</v>
          </cell>
        </row>
        <row r="53">
          <cell r="K53">
            <v>-1248</v>
          </cell>
        </row>
        <row r="54">
          <cell r="K54">
            <v>-830</v>
          </cell>
        </row>
        <row r="55">
          <cell r="K55">
            <v>-1037</v>
          </cell>
        </row>
        <row r="56">
          <cell r="K56">
            <v>0</v>
          </cell>
        </row>
        <row r="57">
          <cell r="K57">
            <v>-1131</v>
          </cell>
        </row>
        <row r="58">
          <cell r="K58">
            <v>0</v>
          </cell>
        </row>
        <row r="59">
          <cell r="K59">
            <v>0</v>
          </cell>
        </row>
        <row r="60">
          <cell r="K60">
            <v>0</v>
          </cell>
        </row>
        <row r="61">
          <cell r="K61">
            <v>0</v>
          </cell>
        </row>
      </sheetData>
      <sheetData sheetId="10">
        <row r="7">
          <cell r="T7">
            <v>-105157</v>
          </cell>
        </row>
        <row r="10">
          <cell r="T10">
            <v>-1116</v>
          </cell>
        </row>
        <row r="11">
          <cell r="T11">
            <v>-680</v>
          </cell>
        </row>
        <row r="12">
          <cell r="T12">
            <v>-680</v>
          </cell>
        </row>
        <row r="13">
          <cell r="T13">
            <v>-868</v>
          </cell>
        </row>
        <row r="14">
          <cell r="T14">
            <v>-930</v>
          </cell>
        </row>
        <row r="15">
          <cell r="T15">
            <v>-363.21015870730668</v>
          </cell>
        </row>
        <row r="17">
          <cell r="T17">
            <v>-1088</v>
          </cell>
        </row>
        <row r="21">
          <cell r="T21">
            <v>-7163</v>
          </cell>
        </row>
        <row r="23">
          <cell r="T23">
            <v>-851</v>
          </cell>
        </row>
        <row r="26">
          <cell r="T26">
            <v>-134966</v>
          </cell>
        </row>
        <row r="28">
          <cell r="T28">
            <v>-687.38817699014282</v>
          </cell>
        </row>
        <row r="29">
          <cell r="T29">
            <v>-1467</v>
          </cell>
        </row>
        <row r="33">
          <cell r="T33">
            <v>-3093</v>
          </cell>
        </row>
        <row r="35">
          <cell r="T35">
            <v>-1465.8510005505982</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FP"/>
      <sheetName val="RSD-NO"/>
      <sheetName val="RSD-LA"/>
      <sheetName val="Table 2A EFTS-ak"/>
    </sheetNames>
    <sheetDataSet>
      <sheetData sheetId="0">
        <row r="79">
          <cell r="EG79">
            <v>3901471</v>
          </cell>
        </row>
        <row r="80">
          <cell r="EG80">
            <v>862624</v>
          </cell>
        </row>
        <row r="88">
          <cell r="CT88">
            <v>8024</v>
          </cell>
          <cell r="EC88">
            <v>108295</v>
          </cell>
          <cell r="EE88">
            <v>141365</v>
          </cell>
        </row>
        <row r="89">
          <cell r="CT89">
            <v>125798</v>
          </cell>
          <cell r="EC89">
            <v>1697891</v>
          </cell>
          <cell r="EE89">
            <v>1513750</v>
          </cell>
        </row>
        <row r="95">
          <cell r="EG95">
            <v>1850701</v>
          </cell>
        </row>
        <row r="96">
          <cell r="EG96">
            <v>1946440</v>
          </cell>
        </row>
        <row r="97">
          <cell r="EG97">
            <v>2905596</v>
          </cell>
        </row>
        <row r="98">
          <cell r="EG98">
            <v>2608214</v>
          </cell>
        </row>
        <row r="99">
          <cell r="EG99">
            <v>3341639</v>
          </cell>
        </row>
        <row r="100">
          <cell r="EG100">
            <v>7656382</v>
          </cell>
        </row>
        <row r="101">
          <cell r="EG101">
            <v>2211146</v>
          </cell>
        </row>
        <row r="102">
          <cell r="EG102">
            <v>569303</v>
          </cell>
        </row>
        <row r="133">
          <cell r="EG133">
            <v>942802</v>
          </cell>
        </row>
        <row r="137">
          <cell r="EG137">
            <v>192947</v>
          </cell>
        </row>
      </sheetData>
      <sheetData sheetId="1"/>
      <sheetData sheetId="2">
        <row r="7">
          <cell r="CT7">
            <v>981351</v>
          </cell>
          <cell r="CU7">
            <v>1314775</v>
          </cell>
        </row>
        <row r="8">
          <cell r="CT8">
            <v>606921</v>
          </cell>
          <cell r="CU8">
            <v>819259</v>
          </cell>
        </row>
        <row r="9">
          <cell r="CT9">
            <v>607873</v>
          </cell>
          <cell r="CU9">
            <v>816139</v>
          </cell>
        </row>
        <row r="10">
          <cell r="CT10">
            <v>769734</v>
          </cell>
          <cell r="CU10">
            <v>1031261</v>
          </cell>
        </row>
        <row r="11">
          <cell r="CT11">
            <v>825552</v>
          </cell>
          <cell r="CU11">
            <v>1105963</v>
          </cell>
        </row>
        <row r="12">
          <cell r="CT12">
            <v>1115599</v>
          </cell>
          <cell r="CU12">
            <v>1496814</v>
          </cell>
        </row>
        <row r="14">
          <cell r="CT14">
            <v>750029</v>
          </cell>
          <cell r="CU14">
            <v>685209</v>
          </cell>
        </row>
        <row r="17">
          <cell r="CT17">
            <v>1299492</v>
          </cell>
          <cell r="CU17">
            <v>966721</v>
          </cell>
        </row>
        <row r="19">
          <cell r="CT19">
            <v>309099</v>
          </cell>
          <cell r="CU19">
            <v>417816</v>
          </cell>
        </row>
        <row r="21">
          <cell r="CT21">
            <v>619409</v>
          </cell>
          <cell r="CU21">
            <v>459935</v>
          </cell>
        </row>
        <row r="22">
          <cell r="CT22">
            <v>1341046</v>
          </cell>
          <cell r="CU22">
            <v>240849</v>
          </cell>
        </row>
      </sheetData>
      <sheetData sheetId="3"/>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ocedures"/>
      <sheetName val="FY2011-12_Final"/>
      <sheetName val="Detail Calculation exclude debt"/>
      <sheetName val="Detail Calculation for debt"/>
      <sheetName val="Detail"/>
      <sheetName val="10-1-11 SIS"/>
      <sheetName val="AFR Revenues"/>
      <sheetName val="AFR Expenditures"/>
    </sheetNames>
    <sheetDataSet>
      <sheetData sheetId="0"/>
      <sheetData sheetId="1">
        <row r="16">
          <cell r="D16">
            <v>3907</v>
          </cell>
        </row>
        <row r="24">
          <cell r="D24">
            <v>5450</v>
          </cell>
        </row>
        <row r="46">
          <cell r="D46">
            <v>3844</v>
          </cell>
        </row>
        <row r="53">
          <cell r="D53">
            <v>969</v>
          </cell>
        </row>
        <row r="76">
          <cell r="K76">
            <v>3312</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K123"/>
  <sheetViews>
    <sheetView showGridLines="0" tabSelected="1" view="pageBreakPreview" zoomScale="75" zoomScaleNormal="80" zoomScaleSheetLayoutView="75" workbookViewId="0">
      <pane xSplit="3" ySplit="9" topLeftCell="D10" activePane="bottomRight" state="frozen"/>
      <selection pane="topRight"/>
      <selection pane="bottomLeft"/>
      <selection pane="bottomRight" activeCell="B7" sqref="B7"/>
    </sheetView>
  </sheetViews>
  <sheetFormatPr defaultRowHeight="12.75"/>
  <cols>
    <col min="1" max="1" width="5.140625" customWidth="1"/>
    <col min="2" max="2" width="4.85546875" customWidth="1"/>
    <col min="3" max="3" width="60" customWidth="1"/>
    <col min="4" max="5" width="20" bestFit="1" customWidth="1"/>
    <col min="6" max="6" width="1.7109375" customWidth="1"/>
    <col min="7" max="7" width="19.85546875" customWidth="1"/>
    <col min="8" max="8" width="10.85546875" customWidth="1"/>
    <col min="9" max="9" width="17.140625" customWidth="1"/>
    <col min="10" max="10" width="11.7109375" bestFit="1" customWidth="1"/>
  </cols>
  <sheetData>
    <row r="1" spans="1:8" ht="7.5" customHeight="1"/>
    <row r="2" spans="1:8" ht="24" customHeight="1">
      <c r="A2" s="1606" t="s">
        <v>0</v>
      </c>
      <c r="B2" s="1607"/>
      <c r="C2" s="1607"/>
      <c r="D2" s="1607"/>
      <c r="E2" s="1607"/>
      <c r="F2" s="1607"/>
      <c r="G2" s="1607"/>
      <c r="H2" s="1607"/>
    </row>
    <row r="3" spans="1:8" ht="29.25" customHeight="1">
      <c r="A3" s="1608" t="s">
        <v>1</v>
      </c>
      <c r="B3" s="1608"/>
      <c r="C3" s="1608"/>
      <c r="D3" s="1608"/>
      <c r="E3" s="1608"/>
      <c r="F3" s="1608"/>
      <c r="G3" s="1608"/>
      <c r="H3" s="1608"/>
    </row>
    <row r="4" spans="1:8" ht="36" customHeight="1" thickBot="1">
      <c r="A4" s="1609"/>
      <c r="B4" s="1610"/>
      <c r="C4" s="1610"/>
      <c r="D4" s="1610"/>
      <c r="E4" s="1610"/>
      <c r="F4" s="1610"/>
      <c r="G4" s="1610"/>
      <c r="H4" s="1610"/>
    </row>
    <row r="5" spans="1:8" s="4" customFormat="1" ht="12" customHeight="1" thickTop="1">
      <c r="A5" s="1"/>
      <c r="B5" s="2"/>
      <c r="C5" s="3"/>
      <c r="D5" s="1611" t="s">
        <v>2</v>
      </c>
      <c r="E5" s="1614" t="s">
        <v>3</v>
      </c>
      <c r="F5" s="1615"/>
      <c r="G5" s="1620" t="s">
        <v>4</v>
      </c>
      <c r="H5" s="1623" t="s">
        <v>5</v>
      </c>
    </row>
    <row r="6" spans="1:8" ht="24" customHeight="1">
      <c r="A6" s="5"/>
      <c r="B6" s="6"/>
      <c r="C6" s="7"/>
      <c r="D6" s="1612"/>
      <c r="E6" s="1616"/>
      <c r="F6" s="1617"/>
      <c r="G6" s="1621"/>
      <c r="H6" s="1624"/>
    </row>
    <row r="7" spans="1:8" s="4" customFormat="1" ht="20.100000000000001" customHeight="1">
      <c r="A7" s="5"/>
      <c r="B7" s="6"/>
      <c r="C7" s="8"/>
      <c r="D7" s="1612"/>
      <c r="E7" s="1616"/>
      <c r="F7" s="1617"/>
      <c r="G7" s="1621"/>
      <c r="H7" s="1624"/>
    </row>
    <row r="8" spans="1:8" s="4" customFormat="1" ht="27.75" customHeight="1" thickBot="1">
      <c r="A8" s="9"/>
      <c r="B8" s="10"/>
      <c r="C8" s="11" t="s">
        <v>6</v>
      </c>
      <c r="D8" s="1613"/>
      <c r="E8" s="1618"/>
      <c r="F8" s="1619"/>
      <c r="G8" s="1622"/>
      <c r="H8" s="1625"/>
    </row>
    <row r="9" spans="1:8" s="4" customFormat="1" ht="18.75" customHeight="1" thickTop="1" thickBot="1">
      <c r="A9" s="12" t="s">
        <v>7</v>
      </c>
      <c r="B9" s="13" t="s">
        <v>8</v>
      </c>
      <c r="C9" s="14"/>
      <c r="D9" s="15">
        <v>3855</v>
      </c>
      <c r="E9" s="16">
        <f>'Table 3 Levels 1&amp;2'!Q77</f>
        <v>3855</v>
      </c>
      <c r="F9" s="17"/>
      <c r="G9" s="15">
        <f>E9-D9</f>
        <v>0</v>
      </c>
      <c r="H9" s="18">
        <f t="shared" ref="H9:H37" si="0">ROUND((E9/D9)-1,4)</f>
        <v>0</v>
      </c>
    </row>
    <row r="10" spans="1:8" s="4" customFormat="1" ht="33" customHeight="1">
      <c r="A10" s="19" t="s">
        <v>9</v>
      </c>
      <c r="B10" s="1593" t="s">
        <v>10</v>
      </c>
      <c r="C10" s="1594"/>
      <c r="D10" s="20">
        <v>919130</v>
      </c>
      <c r="E10" s="21">
        <f>E12+E20+E21+E22+E23+E24</f>
        <v>924654</v>
      </c>
      <c r="F10" s="22"/>
      <c r="G10" s="23">
        <f>E10-D10</f>
        <v>5524</v>
      </c>
      <c r="H10" s="24">
        <f t="shared" si="0"/>
        <v>6.0000000000000001E-3</v>
      </c>
    </row>
    <row r="11" spans="1:8" s="4" customFormat="1" ht="21.75" customHeight="1">
      <c r="A11" s="25"/>
      <c r="B11" s="26" t="s">
        <v>11</v>
      </c>
      <c r="C11" s="27" t="s">
        <v>12</v>
      </c>
      <c r="D11" s="28"/>
      <c r="E11" s="29"/>
      <c r="F11" s="30"/>
      <c r="G11" s="31"/>
      <c r="H11" s="32"/>
    </row>
    <row r="12" spans="1:8" s="4" customFormat="1" ht="34.5" customHeight="1">
      <c r="A12" s="25"/>
      <c r="B12" s="26"/>
      <c r="C12" s="33" t="s">
        <v>13</v>
      </c>
      <c r="D12" s="28">
        <v>656272</v>
      </c>
      <c r="E12" s="29">
        <f>'Table 3 Levels 1&amp;2'!C77</f>
        <v>661517</v>
      </c>
      <c r="F12" s="30"/>
      <c r="G12" s="31">
        <f t="shared" ref="G12:G37" si="1">E12-D12</f>
        <v>5245</v>
      </c>
      <c r="H12" s="32">
        <f t="shared" si="0"/>
        <v>8.0000000000000002E-3</v>
      </c>
    </row>
    <row r="13" spans="1:8" s="4" customFormat="1" ht="21.75" customHeight="1">
      <c r="A13" s="25"/>
      <c r="B13" s="26"/>
      <c r="C13" s="27" t="s">
        <v>14</v>
      </c>
      <c r="D13" s="28">
        <v>1675</v>
      </c>
      <c r="E13" s="29">
        <f>'Table 5A1 Labs NOCCA LSMSA'!B10</f>
        <v>1650</v>
      </c>
      <c r="F13" s="30"/>
      <c r="G13" s="31">
        <f t="shared" si="1"/>
        <v>-25</v>
      </c>
      <c r="H13" s="32">
        <f t="shared" si="0"/>
        <v>-1.49E-2</v>
      </c>
    </row>
    <row r="14" spans="1:8" s="4" customFormat="1" ht="18" customHeight="1">
      <c r="A14" s="25"/>
      <c r="B14" s="26"/>
      <c r="C14" s="27" t="s">
        <v>15</v>
      </c>
      <c r="D14" s="28">
        <v>384.16712328767125</v>
      </c>
      <c r="E14" s="29">
        <f>'Table 5E_OJJ'!C76</f>
        <v>330.32457200000005</v>
      </c>
      <c r="F14" s="30"/>
      <c r="G14" s="31">
        <f t="shared" si="1"/>
        <v>-53.842551287671199</v>
      </c>
      <c r="H14" s="32">
        <f t="shared" si="0"/>
        <v>-0.14019999999999999</v>
      </c>
    </row>
    <row r="15" spans="1:8" s="4" customFormat="1" ht="18" customHeight="1">
      <c r="A15" s="25"/>
      <c r="B15" s="26"/>
      <c r="C15" s="27" t="s">
        <v>16</v>
      </c>
      <c r="D15" s="28"/>
      <c r="E15" s="29">
        <f>'Table 5D - Legacy Type 2'!C18</f>
        <v>3966</v>
      </c>
      <c r="F15" s="30"/>
      <c r="G15" s="31"/>
      <c r="H15" s="32"/>
    </row>
    <row r="16" spans="1:8" s="4" customFormat="1" ht="18" customHeight="1">
      <c r="A16" s="25"/>
      <c r="B16" s="26"/>
      <c r="C16" s="27" t="s">
        <v>17</v>
      </c>
      <c r="D16" s="28"/>
      <c r="E16" s="29">
        <f>'Table 5C1 - Type 2s'!B65+'Table 5C1 - Type 2s'!B79+'Table 5C1 - Type 2s'!B92+'Table 5C2 - LA Virtual Admy '!C74+'Table 5C3 - LA Connections  '!C74</f>
        <v>2462</v>
      </c>
      <c r="F16" s="30"/>
      <c r="G16" s="31"/>
      <c r="H16" s="32"/>
    </row>
    <row r="17" spans="1:8" s="4" customFormat="1" ht="18" customHeight="1">
      <c r="A17" s="25"/>
      <c r="B17" s="26"/>
      <c r="C17" s="27" t="s">
        <v>18</v>
      </c>
      <c r="D17" s="28"/>
      <c r="E17" s="29">
        <f>'Table 5A1 Labs NOCCA LSMSA'!B19</f>
        <v>321</v>
      </c>
      <c r="F17" s="30"/>
      <c r="G17" s="31"/>
      <c r="H17" s="32"/>
    </row>
    <row r="18" spans="1:8" s="4" customFormat="1" ht="18" customHeight="1">
      <c r="A18" s="25"/>
      <c r="B18" s="26"/>
      <c r="C18" s="27" t="s">
        <v>19</v>
      </c>
      <c r="D18" s="28"/>
      <c r="E18" s="29">
        <f>'Table 5A1 Labs NOCCA LSMSA'!B20</f>
        <v>75</v>
      </c>
      <c r="F18" s="30"/>
      <c r="G18" s="31"/>
      <c r="H18" s="32"/>
    </row>
    <row r="19" spans="1:8" s="4" customFormat="1" ht="18" customHeight="1">
      <c r="A19" s="25"/>
      <c r="B19" s="26"/>
      <c r="C19" s="27" t="s">
        <v>20</v>
      </c>
      <c r="D19" s="28">
        <v>658875.16712328768</v>
      </c>
      <c r="E19" s="29">
        <f>SUM(E12:E18)</f>
        <v>670321.32457199995</v>
      </c>
      <c r="F19" s="30"/>
      <c r="G19" s="31">
        <f t="shared" si="1"/>
        <v>11446.157448712271</v>
      </c>
      <c r="H19" s="32">
        <f t="shared" si="0"/>
        <v>1.7399999999999999E-2</v>
      </c>
    </row>
    <row r="20" spans="1:8" s="4" customFormat="1" ht="18.75" customHeight="1">
      <c r="A20" s="25"/>
      <c r="B20" s="26" t="s">
        <v>21</v>
      </c>
      <c r="C20" s="27" t="s">
        <v>22</v>
      </c>
      <c r="D20" s="34">
        <v>95888</v>
      </c>
      <c r="E20" s="29">
        <f>'Table 3 Levels 1&amp;2'!E77</f>
        <v>97662</v>
      </c>
      <c r="F20" s="30"/>
      <c r="G20" s="35">
        <f t="shared" si="1"/>
        <v>1774</v>
      </c>
      <c r="H20" s="36">
        <f t="shared" si="0"/>
        <v>1.8499999999999999E-2</v>
      </c>
    </row>
    <row r="21" spans="1:8" s="4" customFormat="1" ht="18.75" customHeight="1">
      <c r="A21" s="25"/>
      <c r="B21" s="26" t="s">
        <v>23</v>
      </c>
      <c r="C21" s="27" t="s">
        <v>24</v>
      </c>
      <c r="D21" s="28">
        <v>11683</v>
      </c>
      <c r="E21" s="29">
        <f>'Table 3 Levels 1&amp;2'!G77</f>
        <v>12344</v>
      </c>
      <c r="F21" s="30"/>
      <c r="G21" s="31">
        <f t="shared" si="1"/>
        <v>661</v>
      </c>
      <c r="H21" s="32">
        <f t="shared" si="0"/>
        <v>5.6599999999999998E-2</v>
      </c>
    </row>
    <row r="22" spans="1:8" s="4" customFormat="1" ht="18.75" customHeight="1">
      <c r="A22" s="25"/>
      <c r="B22" s="26" t="s">
        <v>25</v>
      </c>
      <c r="C22" s="27" t="s">
        <v>26</v>
      </c>
      <c r="D22" s="28">
        <v>126230</v>
      </c>
      <c r="E22" s="29">
        <f>'Table 3 Levels 1&amp;2'!I77</f>
        <v>123438</v>
      </c>
      <c r="F22" s="30"/>
      <c r="G22" s="31">
        <f t="shared" si="1"/>
        <v>-2792</v>
      </c>
      <c r="H22" s="32">
        <f t="shared" si="0"/>
        <v>-2.2100000000000002E-2</v>
      </c>
    </row>
    <row r="23" spans="1:8" s="4" customFormat="1" ht="18.75" customHeight="1">
      <c r="A23" s="25"/>
      <c r="B23" s="26" t="s">
        <v>27</v>
      </c>
      <c r="C23" s="27" t="s">
        <v>28</v>
      </c>
      <c r="D23" s="28">
        <v>15567</v>
      </c>
      <c r="E23" s="29">
        <f>'Table 3 Levels 1&amp;2'!K77</f>
        <v>16304</v>
      </c>
      <c r="F23" s="30"/>
      <c r="G23" s="31">
        <f t="shared" si="1"/>
        <v>737</v>
      </c>
      <c r="H23" s="32">
        <f t="shared" si="0"/>
        <v>4.7300000000000002E-2</v>
      </c>
    </row>
    <row r="24" spans="1:8" s="4" customFormat="1" ht="16.5" thickBot="1">
      <c r="A24" s="37"/>
      <c r="B24" s="38" t="s">
        <v>29</v>
      </c>
      <c r="C24" s="39" t="s">
        <v>30</v>
      </c>
      <c r="D24" s="40">
        <v>13490</v>
      </c>
      <c r="E24" s="41">
        <f>'Table 3 Levels 1&amp;2'!N77</f>
        <v>13389</v>
      </c>
      <c r="F24" s="42"/>
      <c r="G24" s="43">
        <f t="shared" si="1"/>
        <v>-101</v>
      </c>
      <c r="H24" s="44">
        <f t="shared" si="0"/>
        <v>-7.4999999999999997E-3</v>
      </c>
    </row>
    <row r="25" spans="1:8" s="4" customFormat="1" ht="15.75">
      <c r="A25" s="25" t="s">
        <v>31</v>
      </c>
      <c r="B25" s="45" t="s">
        <v>32</v>
      </c>
      <c r="C25" s="46"/>
      <c r="D25" s="47">
        <v>3543246150</v>
      </c>
      <c r="E25" s="48">
        <f>'Table 3 Levels 1&amp;2'!R77</f>
        <v>3564541170</v>
      </c>
      <c r="F25" s="49"/>
      <c r="G25" s="47">
        <f t="shared" si="1"/>
        <v>21295020</v>
      </c>
      <c r="H25" s="32">
        <f t="shared" si="0"/>
        <v>6.0000000000000001E-3</v>
      </c>
    </row>
    <row r="26" spans="1:8" s="4" customFormat="1" ht="21.75" customHeight="1">
      <c r="A26" s="25"/>
      <c r="B26" s="50" t="s">
        <v>11</v>
      </c>
      <c r="C26" s="51" t="s">
        <v>33</v>
      </c>
      <c r="D26" s="52">
        <v>2303063321.75</v>
      </c>
      <c r="E26" s="53">
        <f>'Table 3 Levels 1&amp;2'!U77</f>
        <v>2316995202.5</v>
      </c>
      <c r="F26" s="54"/>
      <c r="G26" s="52">
        <f t="shared" si="1"/>
        <v>13931880.75</v>
      </c>
      <c r="H26" s="55">
        <f t="shared" si="0"/>
        <v>6.0000000000000001E-3</v>
      </c>
    </row>
    <row r="27" spans="1:8" s="4" customFormat="1" ht="18.75" customHeight="1" thickBot="1">
      <c r="A27" s="37"/>
      <c r="B27" s="56" t="s">
        <v>21</v>
      </c>
      <c r="C27" s="57" t="s">
        <v>34</v>
      </c>
      <c r="D27" s="58">
        <v>1240182828.25</v>
      </c>
      <c r="E27" s="59">
        <f>'Table 3 Levels 1&amp;2'!T77</f>
        <v>1247545967.5</v>
      </c>
      <c r="F27" s="60"/>
      <c r="G27" s="58">
        <f t="shared" si="1"/>
        <v>7363139.25</v>
      </c>
      <c r="H27" s="61">
        <f t="shared" si="0"/>
        <v>5.8999999999999999E-3</v>
      </c>
    </row>
    <row r="28" spans="1:8" s="4" customFormat="1" ht="18.75" customHeight="1">
      <c r="A28" s="62" t="s">
        <v>35</v>
      </c>
      <c r="B28" s="45" t="s">
        <v>36</v>
      </c>
      <c r="C28" s="63"/>
      <c r="D28" s="47">
        <v>2817704612</v>
      </c>
      <c r="E28" s="48">
        <f>'Table 7 Local Revenue'!AQ77</f>
        <v>2855993315.5</v>
      </c>
      <c r="F28" s="49"/>
      <c r="G28" s="47">
        <f t="shared" si="1"/>
        <v>38288703.5</v>
      </c>
      <c r="H28" s="32">
        <f t="shared" si="0"/>
        <v>1.3599999999999999E-2</v>
      </c>
    </row>
    <row r="29" spans="1:8" s="4" customFormat="1" ht="19.5" customHeight="1">
      <c r="A29" s="25"/>
      <c r="B29" s="64" t="s">
        <v>11</v>
      </c>
      <c r="C29" s="45" t="s">
        <v>37</v>
      </c>
      <c r="D29" s="47">
        <v>28017296643.000008</v>
      </c>
      <c r="E29" s="65">
        <f>'Table 7 Local Revenue'!H77</f>
        <v>31212491447.999992</v>
      </c>
      <c r="F29" s="66"/>
      <c r="G29" s="47">
        <f t="shared" si="1"/>
        <v>3195194804.9999847</v>
      </c>
      <c r="H29" s="32">
        <f t="shared" si="0"/>
        <v>0.114</v>
      </c>
    </row>
    <row r="30" spans="1:8" s="4" customFormat="1" ht="18.75" customHeight="1">
      <c r="A30" s="25"/>
      <c r="B30" s="64" t="s">
        <v>21</v>
      </c>
      <c r="C30" s="45" t="s">
        <v>38</v>
      </c>
      <c r="D30" s="47">
        <v>80185315588.649994</v>
      </c>
      <c r="E30" s="65">
        <f>'Table 7 Local Revenue'!AM77</f>
        <v>76483527246.550003</v>
      </c>
      <c r="F30" s="66"/>
      <c r="G30" s="47">
        <f t="shared" si="1"/>
        <v>-3701788342.0999908</v>
      </c>
      <c r="H30" s="32">
        <f t="shared" si="0"/>
        <v>-4.6199999999999998E-2</v>
      </c>
    </row>
    <row r="31" spans="1:8" s="4" customFormat="1" ht="18.75" customHeight="1">
      <c r="A31" s="25"/>
      <c r="B31" s="64" t="s">
        <v>23</v>
      </c>
      <c r="C31" s="45" t="s">
        <v>39</v>
      </c>
      <c r="D31" s="67" t="s">
        <v>40</v>
      </c>
      <c r="E31" s="68" t="s">
        <v>41</v>
      </c>
      <c r="F31" s="69"/>
      <c r="G31" s="70"/>
      <c r="H31" s="32"/>
    </row>
    <row r="32" spans="1:8" s="4" customFormat="1" ht="15.75">
      <c r="A32" s="25"/>
      <c r="B32" s="64" t="s">
        <v>25</v>
      </c>
      <c r="C32" s="45" t="s">
        <v>42</v>
      </c>
      <c r="D32" s="71" t="s">
        <v>43</v>
      </c>
      <c r="E32" s="72" t="s">
        <v>44</v>
      </c>
      <c r="F32" s="73"/>
      <c r="G32" s="74"/>
      <c r="H32" s="32"/>
    </row>
    <row r="33" spans="1:8" s="4" customFormat="1" ht="15.75">
      <c r="A33" s="25"/>
      <c r="B33" s="64" t="s">
        <v>27</v>
      </c>
      <c r="C33" s="45" t="s">
        <v>45</v>
      </c>
      <c r="D33" s="47">
        <v>1173328833</v>
      </c>
      <c r="E33" s="65">
        <f>'Table 7 Local Revenue'!AE77</f>
        <v>1272732205</v>
      </c>
      <c r="F33" s="66"/>
      <c r="G33" s="47">
        <f t="shared" si="1"/>
        <v>99403372</v>
      </c>
      <c r="H33" s="32">
        <f t="shared" si="0"/>
        <v>8.4699999999999998E-2</v>
      </c>
    </row>
    <row r="34" spans="1:8" s="4" customFormat="1" ht="18.75" customHeight="1">
      <c r="A34" s="25"/>
      <c r="B34" s="64" t="s">
        <v>29</v>
      </c>
      <c r="C34" s="45" t="s">
        <v>46</v>
      </c>
      <c r="D34" s="47">
        <v>1605367688</v>
      </c>
      <c r="E34" s="65">
        <f>'Table 7 Local Revenue'!AI77</f>
        <v>1545304410</v>
      </c>
      <c r="F34" s="66"/>
      <c r="G34" s="47">
        <f t="shared" si="1"/>
        <v>-60063278</v>
      </c>
      <c r="H34" s="32">
        <f t="shared" si="0"/>
        <v>-3.7400000000000003E-2</v>
      </c>
    </row>
    <row r="35" spans="1:8" s="4" customFormat="1" ht="18.75" customHeight="1" thickBot="1">
      <c r="A35" s="37"/>
      <c r="B35" s="38" t="s">
        <v>47</v>
      </c>
      <c r="C35" s="75" t="s">
        <v>48</v>
      </c>
      <c r="D35" s="76">
        <v>39008091</v>
      </c>
      <c r="E35" s="59">
        <f>'Table 7 Local Revenue'!AP77</f>
        <v>37956700.5</v>
      </c>
      <c r="F35" s="60"/>
      <c r="G35" s="76">
        <f t="shared" si="1"/>
        <v>-1051390.5</v>
      </c>
      <c r="H35" s="44">
        <f t="shared" si="0"/>
        <v>-2.7E-2</v>
      </c>
    </row>
    <row r="36" spans="1:8" s="4" customFormat="1" ht="18.75" customHeight="1">
      <c r="A36" s="25" t="s">
        <v>49</v>
      </c>
      <c r="B36" s="77" t="s">
        <v>50</v>
      </c>
      <c r="C36" s="45"/>
      <c r="D36" s="47">
        <v>1061525558.0000002</v>
      </c>
      <c r="E36" s="48">
        <f>'Table 3 Levels 1&amp;2'!AC77</f>
        <v>1063767149.2</v>
      </c>
      <c r="F36" s="49"/>
      <c r="G36" s="47">
        <f t="shared" si="1"/>
        <v>2241591.1999998093</v>
      </c>
      <c r="H36" s="32">
        <f t="shared" si="0"/>
        <v>2.0999999999999999E-3</v>
      </c>
    </row>
    <row r="37" spans="1:8" s="4" customFormat="1" ht="23.25" customHeight="1" thickBot="1">
      <c r="A37" s="78"/>
      <c r="B37" s="50" t="s">
        <v>11</v>
      </c>
      <c r="C37" s="79" t="s">
        <v>51</v>
      </c>
      <c r="D37" s="52">
        <v>397052856.41103995</v>
      </c>
      <c r="E37" s="80">
        <f>'Table 3 Levels 1&amp;2'!AE77</f>
        <v>399856216.25968516</v>
      </c>
      <c r="F37" s="81"/>
      <c r="G37" s="52">
        <f t="shared" si="1"/>
        <v>2803359.8486452103</v>
      </c>
      <c r="H37" s="55">
        <f t="shared" si="0"/>
        <v>7.1000000000000004E-3</v>
      </c>
    </row>
    <row r="38" spans="1:8" s="4" customFormat="1" ht="18.75" customHeight="1" thickBot="1">
      <c r="A38" s="82" t="s">
        <v>52</v>
      </c>
      <c r="B38" s="83" t="s">
        <v>53</v>
      </c>
      <c r="C38" s="84"/>
      <c r="D38" s="85">
        <v>2700116178.1610398</v>
      </c>
      <c r="E38" s="86">
        <f>E26+E37</f>
        <v>2716851418.759685</v>
      </c>
      <c r="F38" s="87"/>
      <c r="G38" s="85">
        <f>E38-D38</f>
        <v>16735240.59864521</v>
      </c>
      <c r="H38" s="88">
        <f>ROUND((E38/D38)-1,4)</f>
        <v>6.1999999999999998E-3</v>
      </c>
    </row>
    <row r="39" spans="1:8" s="4" customFormat="1" ht="27.75" customHeight="1">
      <c r="A39" s="89" t="s">
        <v>54</v>
      </c>
      <c r="B39" s="1595" t="s">
        <v>55</v>
      </c>
      <c r="C39" s="1596"/>
      <c r="D39" s="90">
        <v>610425028.64207256</v>
      </c>
      <c r="E39" s="91">
        <f>E40+E41+E42+E43</f>
        <v>614163054.78309655</v>
      </c>
      <c r="F39" s="92"/>
      <c r="G39" s="90">
        <f>E39-D39</f>
        <v>3738026.1410239935</v>
      </c>
      <c r="H39" s="93">
        <f>ROUND((E39/D39)-1,4)</f>
        <v>6.1000000000000004E-3</v>
      </c>
    </row>
    <row r="40" spans="1:8" s="4" customFormat="1" ht="27" customHeight="1">
      <c r="A40" s="94"/>
      <c r="B40" s="95" t="s">
        <v>11</v>
      </c>
      <c r="C40" s="96" t="s">
        <v>56</v>
      </c>
      <c r="D40" s="97">
        <v>462804898.64207256</v>
      </c>
      <c r="E40" s="98">
        <f>+'Table 4 Level 3'!Q75</f>
        <v>466358424.78309661</v>
      </c>
      <c r="F40" s="99"/>
      <c r="G40" s="97">
        <f>E40-D40</f>
        <v>3553526.1410240531</v>
      </c>
      <c r="H40" s="100">
        <f>ROUND((E40/D40)-1,4)</f>
        <v>7.7000000000000002E-3</v>
      </c>
    </row>
    <row r="41" spans="1:8" s="4" customFormat="1" ht="18" customHeight="1">
      <c r="A41" s="94"/>
      <c r="B41" s="95" t="s">
        <v>21</v>
      </c>
      <c r="C41" s="101" t="s">
        <v>57</v>
      </c>
      <c r="D41" s="97">
        <v>5200000</v>
      </c>
      <c r="E41" s="98">
        <f>'Table 4 Level 3'!L75</f>
        <v>4860000</v>
      </c>
      <c r="F41" s="99"/>
      <c r="G41" s="97">
        <f t="shared" ref="G41:G47" si="2">E41-D41</f>
        <v>-340000</v>
      </c>
      <c r="H41" s="100">
        <f>ROUND((E41/D41)-1,4)</f>
        <v>-6.54E-2</v>
      </c>
    </row>
    <row r="42" spans="1:8" s="4" customFormat="1" ht="18" customHeight="1">
      <c r="A42" s="94"/>
      <c r="B42" s="95" t="s">
        <v>23</v>
      </c>
      <c r="C42" s="102" t="s">
        <v>58</v>
      </c>
      <c r="D42" s="103">
        <v>65627200</v>
      </c>
      <c r="E42" s="104">
        <f>'Table 4 Level 3'!N75</f>
        <v>66151700</v>
      </c>
      <c r="F42" s="105"/>
      <c r="G42" s="106">
        <f t="shared" si="2"/>
        <v>524500</v>
      </c>
      <c r="H42" s="100">
        <f t="shared" ref="H42:H91" si="3">ROUND((E42/D42)-1,4)</f>
        <v>8.0000000000000002E-3</v>
      </c>
    </row>
    <row r="43" spans="1:8" s="4" customFormat="1" ht="18" customHeight="1">
      <c r="A43" s="94"/>
      <c r="B43" s="95" t="s">
        <v>25</v>
      </c>
      <c r="C43" s="102" t="s">
        <v>59</v>
      </c>
      <c r="D43" s="103">
        <v>76792930</v>
      </c>
      <c r="E43" s="107">
        <f>SUM(E44:E47)</f>
        <v>76792930</v>
      </c>
      <c r="F43" s="108"/>
      <c r="G43" s="106">
        <f t="shared" si="2"/>
        <v>0</v>
      </c>
      <c r="H43" s="100">
        <f t="shared" si="3"/>
        <v>0</v>
      </c>
    </row>
    <row r="44" spans="1:8" s="4" customFormat="1" ht="18" customHeight="1">
      <c r="A44" s="94"/>
      <c r="B44" s="109"/>
      <c r="C44" s="110" t="s">
        <v>60</v>
      </c>
      <c r="D44" s="111">
        <v>38336714</v>
      </c>
      <c r="E44" s="112">
        <f>'Table 4 Level 3'!D75</f>
        <v>38336714</v>
      </c>
      <c r="F44" s="113"/>
      <c r="G44" s="111">
        <f t="shared" si="2"/>
        <v>0</v>
      </c>
      <c r="H44" s="114">
        <f t="shared" si="3"/>
        <v>0</v>
      </c>
    </row>
    <row r="45" spans="1:8" s="4" customFormat="1" ht="18" customHeight="1">
      <c r="A45" s="94"/>
      <c r="B45" s="109"/>
      <c r="C45" s="110" t="s">
        <v>61</v>
      </c>
      <c r="D45" s="111">
        <v>38456219</v>
      </c>
      <c r="E45" s="115">
        <f>'Table 4 Level 3'!E75</f>
        <v>38456219</v>
      </c>
      <c r="F45" s="116"/>
      <c r="G45" s="111">
        <f t="shared" si="2"/>
        <v>0</v>
      </c>
      <c r="H45" s="114">
        <f t="shared" si="3"/>
        <v>0</v>
      </c>
    </row>
    <row r="46" spans="1:8" s="4" customFormat="1" ht="18" customHeight="1">
      <c r="A46" s="94"/>
      <c r="B46" s="109"/>
      <c r="C46" s="117" t="s">
        <v>62</v>
      </c>
      <c r="D46" s="118">
        <v>-16138031</v>
      </c>
      <c r="E46" s="115">
        <f>'Table 4 Level 3'!F75+'Table 4 Level 3'!H75</f>
        <v>-19857730</v>
      </c>
      <c r="F46" s="116"/>
      <c r="G46" s="118">
        <f t="shared" si="2"/>
        <v>-3719699</v>
      </c>
      <c r="H46" s="119">
        <f t="shared" si="3"/>
        <v>0.23050000000000001</v>
      </c>
    </row>
    <row r="47" spans="1:8" s="4" customFormat="1" ht="18" customHeight="1" thickBot="1">
      <c r="A47" s="94"/>
      <c r="B47" s="120"/>
      <c r="C47" s="102" t="s">
        <v>63</v>
      </c>
      <c r="D47" s="103">
        <v>16138028</v>
      </c>
      <c r="E47" s="121">
        <f>'Table 4 Level 3'!J75</f>
        <v>19857727</v>
      </c>
      <c r="F47" s="122"/>
      <c r="G47" s="103">
        <f t="shared" si="2"/>
        <v>3719699</v>
      </c>
      <c r="H47" s="100">
        <f t="shared" si="3"/>
        <v>0.23050000000000001</v>
      </c>
    </row>
    <row r="48" spans="1:8" s="4" customFormat="1" ht="17.25" customHeight="1">
      <c r="A48" s="123" t="s">
        <v>64</v>
      </c>
      <c r="B48" s="124" t="s">
        <v>65</v>
      </c>
      <c r="C48" s="125"/>
      <c r="D48" s="126">
        <v>3310541206.8031125</v>
      </c>
      <c r="E48" s="127">
        <f>SUM(E38:E39)</f>
        <v>3331014473.5427818</v>
      </c>
      <c r="F48" s="128"/>
      <c r="G48" s="126">
        <f>E48-D48</f>
        <v>20473266.739669323</v>
      </c>
      <c r="H48" s="129">
        <f t="shared" si="3"/>
        <v>6.1999999999999998E-3</v>
      </c>
    </row>
    <row r="49" spans="1:8" s="4" customFormat="1" ht="16.5" thickBot="1">
      <c r="A49" s="130"/>
      <c r="B49" s="131"/>
      <c r="C49" s="132" t="s">
        <v>66</v>
      </c>
      <c r="D49" s="133">
        <v>5044.4651102029566</v>
      </c>
      <c r="E49" s="134">
        <f>'Table 3 Levels 1&amp;2'!AP77</f>
        <v>5035.4177950722069</v>
      </c>
      <c r="F49" s="135"/>
      <c r="G49" s="133">
        <f>E49-D49</f>
        <v>-9.0473151307496664</v>
      </c>
      <c r="H49" s="136">
        <f t="shared" si="3"/>
        <v>-1.8E-3</v>
      </c>
    </row>
    <row r="50" spans="1:8" s="4" customFormat="1" ht="15.75">
      <c r="A50" s="137" t="s">
        <v>67</v>
      </c>
      <c r="B50" s="1597" t="s">
        <v>68</v>
      </c>
      <c r="C50" s="1597"/>
      <c r="D50" s="138"/>
      <c r="E50" s="1598"/>
      <c r="F50" s="1599"/>
      <c r="G50" s="139"/>
      <c r="H50" s="140"/>
    </row>
    <row r="51" spans="1:8" s="4" customFormat="1" ht="17.25" customHeight="1">
      <c r="A51" s="141"/>
      <c r="B51" s="142" t="s">
        <v>69</v>
      </c>
      <c r="C51" s="51"/>
      <c r="D51" s="52">
        <v>8313353.9660925474</v>
      </c>
      <c r="E51" s="143">
        <f>E53+E52</f>
        <v>8172061.8755278708</v>
      </c>
      <c r="F51" s="144"/>
      <c r="G51" s="52">
        <f t="shared" ref="G51:G73" si="4">E51-D51</f>
        <v>-141292.09056467656</v>
      </c>
      <c r="H51" s="55">
        <f t="shared" si="3"/>
        <v>-1.7000000000000001E-2</v>
      </c>
    </row>
    <row r="52" spans="1:8" s="4" customFormat="1" ht="19.5" customHeight="1">
      <c r="A52" s="145"/>
      <c r="B52" s="146" t="s">
        <v>11</v>
      </c>
      <c r="C52" s="147" t="s">
        <v>70</v>
      </c>
      <c r="D52" s="148">
        <v>6675712.0092936801</v>
      </c>
      <c r="E52" s="149">
        <f>'Table 5A1 Labs NOCCA LSMSA'!G8</f>
        <v>6688241.8685873607</v>
      </c>
      <c r="F52" s="150"/>
      <c r="G52" s="148">
        <f t="shared" si="4"/>
        <v>12529.859293680638</v>
      </c>
      <c r="H52" s="151">
        <f t="shared" si="3"/>
        <v>1.9E-3</v>
      </c>
    </row>
    <row r="53" spans="1:8" s="4" customFormat="1" ht="15.75">
      <c r="A53" s="145"/>
      <c r="B53" s="152" t="s">
        <v>21</v>
      </c>
      <c r="C53" s="153" t="s">
        <v>71</v>
      </c>
      <c r="D53" s="154">
        <v>1637641.9567988669</v>
      </c>
      <c r="E53" s="155">
        <f>'Table 5A1 Labs NOCCA LSMSA'!G9</f>
        <v>1483820.0069405099</v>
      </c>
      <c r="F53" s="156"/>
      <c r="G53" s="157">
        <f t="shared" si="4"/>
        <v>-153821.94985835697</v>
      </c>
      <c r="H53" s="158">
        <f t="shared" si="3"/>
        <v>-9.3899999999999997E-2</v>
      </c>
    </row>
    <row r="54" spans="1:8" s="4" customFormat="1" ht="15.75">
      <c r="A54" s="137" t="s">
        <v>72</v>
      </c>
      <c r="B54" s="159" t="s">
        <v>73</v>
      </c>
      <c r="C54" s="160"/>
      <c r="D54" s="52">
        <v>118435156.01707461</v>
      </c>
      <c r="E54" s="161">
        <f>SUM(E55:E59)</f>
        <v>124299466.42490982</v>
      </c>
      <c r="F54" s="162"/>
      <c r="G54" s="163">
        <f t="shared" si="4"/>
        <v>5864310.4078352004</v>
      </c>
      <c r="H54" s="55">
        <f t="shared" si="3"/>
        <v>4.9500000000000002E-2</v>
      </c>
    </row>
    <row r="55" spans="1:8" s="4" customFormat="1" ht="15.75">
      <c r="A55" s="145"/>
      <c r="B55" s="146" t="s">
        <v>11</v>
      </c>
      <c r="C55" s="147" t="s">
        <v>74</v>
      </c>
      <c r="D55" s="148">
        <v>100973842.78983875</v>
      </c>
      <c r="E55" s="164">
        <f>'Table 5B1_RSD_Orleans'!H63</f>
        <v>107906806.64114633</v>
      </c>
      <c r="F55" s="165"/>
      <c r="G55" s="166">
        <f t="shared" si="4"/>
        <v>6932963.8513075858</v>
      </c>
      <c r="H55" s="151">
        <f t="shared" si="3"/>
        <v>6.8699999999999997E-2</v>
      </c>
    </row>
    <row r="56" spans="1:8" s="4" customFormat="1" ht="15.75">
      <c r="A56" s="145"/>
      <c r="B56" s="167" t="s">
        <v>21</v>
      </c>
      <c r="C56" s="168" t="s">
        <v>75</v>
      </c>
      <c r="D56" s="169">
        <v>9521325.0840131324</v>
      </c>
      <c r="E56" s="170">
        <f>'Table 5B2_RSD_LA'!H18</f>
        <v>9417474.351535989</v>
      </c>
      <c r="F56" s="171"/>
      <c r="G56" s="172">
        <f t="shared" si="4"/>
        <v>-103850.73247714341</v>
      </c>
      <c r="H56" s="173">
        <f t="shared" si="3"/>
        <v>-1.09E-2</v>
      </c>
    </row>
    <row r="57" spans="1:8" s="4" customFormat="1" ht="15.75">
      <c r="A57" s="145"/>
      <c r="B57" s="167" t="s">
        <v>23</v>
      </c>
      <c r="C57" s="168" t="s">
        <v>76</v>
      </c>
      <c r="D57" s="169">
        <v>1597167.5232227487</v>
      </c>
      <c r="E57" s="170">
        <f>'Table 5B2_RSD_LA'!H23</f>
        <v>1324088.4322274881</v>
      </c>
      <c r="F57" s="171"/>
      <c r="G57" s="172">
        <f t="shared" si="4"/>
        <v>-273079.09099526051</v>
      </c>
      <c r="H57" s="173">
        <f t="shared" si="3"/>
        <v>-0.17100000000000001</v>
      </c>
    </row>
    <row r="58" spans="1:8" s="4" customFormat="1" ht="15.75">
      <c r="A58" s="145"/>
      <c r="B58" s="152" t="s">
        <v>25</v>
      </c>
      <c r="C58" s="153" t="s">
        <v>77</v>
      </c>
      <c r="D58" s="169">
        <v>4003944.5999999996</v>
      </c>
      <c r="E58" s="170">
        <f>'Table 5B2_RSD_LA'!H30</f>
        <v>3339416.76</v>
      </c>
      <c r="F58" s="171"/>
      <c r="G58" s="172">
        <f t="shared" si="4"/>
        <v>-664527.83999999985</v>
      </c>
      <c r="H58" s="173">
        <f t="shared" si="3"/>
        <v>-0.16600000000000001</v>
      </c>
    </row>
    <row r="59" spans="1:8" s="4" customFormat="1" ht="15.75">
      <c r="A59" s="145"/>
      <c r="B59" s="152" t="s">
        <v>27</v>
      </c>
      <c r="C59" s="153" t="s">
        <v>78</v>
      </c>
      <c r="D59" s="174">
        <v>2338876.02</v>
      </c>
      <c r="E59" s="175">
        <f>'Table 5B2_RSD_LA'!H35</f>
        <v>2311680.2400000002</v>
      </c>
      <c r="F59" s="156"/>
      <c r="G59" s="176">
        <f t="shared" si="4"/>
        <v>-27195.779999999795</v>
      </c>
      <c r="H59" s="177">
        <f t="shared" si="3"/>
        <v>-1.1599999999999999E-2</v>
      </c>
    </row>
    <row r="60" spans="1:8" s="4" customFormat="1" ht="15.75">
      <c r="A60" s="178" t="s">
        <v>79</v>
      </c>
      <c r="B60" s="159" t="s">
        <v>80</v>
      </c>
      <c r="C60" s="160"/>
      <c r="D60" s="52">
        <v>2570265.9033185816</v>
      </c>
      <c r="E60" s="179">
        <f>'Table 5C1 - Type 2s'!G11+'Table 5C1 - Type 2s'!G28+'Table 5C1 - Type 2s'!G47</f>
        <v>3206902.019904824</v>
      </c>
      <c r="F60" s="180"/>
      <c r="G60" s="163">
        <f t="shared" si="4"/>
        <v>636636.11658624234</v>
      </c>
      <c r="H60" s="55">
        <f t="shared" si="3"/>
        <v>0.2477</v>
      </c>
    </row>
    <row r="61" spans="1:8" s="4" customFormat="1" ht="15.75">
      <c r="A61" s="178" t="s">
        <v>81</v>
      </c>
      <c r="B61" s="159" t="s">
        <v>82</v>
      </c>
      <c r="C61" s="160"/>
      <c r="D61" s="52">
        <v>0</v>
      </c>
      <c r="E61" s="179">
        <f>'Table 5C1 - Type 2s'!G65+'Table 5C1 - Type 2s'!G79+'Table 5C1 - Type 2s'!G92+'Table 5C2 - LA Virtual Admy '!H74+'Table 5C3 - LA Connections  '!H74</f>
        <v>11375740.166563038</v>
      </c>
      <c r="F61" s="180"/>
      <c r="G61" s="163">
        <f t="shared" si="4"/>
        <v>11375740.166563038</v>
      </c>
      <c r="H61" s="55"/>
    </row>
    <row r="62" spans="1:8" s="4" customFormat="1" ht="15.75">
      <c r="A62" s="178" t="s">
        <v>83</v>
      </c>
      <c r="B62" s="159" t="s">
        <v>84</v>
      </c>
      <c r="C62" s="160"/>
      <c r="D62" s="52">
        <v>3060648.7662793789</v>
      </c>
      <c r="E62" s="181">
        <f>'Table 5E_OJJ'!G76</f>
        <v>2592468.8423817819</v>
      </c>
      <c r="F62" s="180"/>
      <c r="G62" s="163">
        <f t="shared" si="4"/>
        <v>-468179.92389759701</v>
      </c>
      <c r="H62" s="55">
        <f t="shared" si="3"/>
        <v>-0.153</v>
      </c>
    </row>
    <row r="63" spans="1:8" s="4" customFormat="1" ht="15.75">
      <c r="A63" s="178" t="s">
        <v>85</v>
      </c>
      <c r="B63" s="159" t="s">
        <v>86</v>
      </c>
      <c r="C63" s="160"/>
      <c r="D63" s="52">
        <v>852000</v>
      </c>
      <c r="E63" s="161">
        <f>'Table 4A Stipends'!G77</f>
        <v>670000</v>
      </c>
      <c r="F63" s="162"/>
      <c r="G63" s="163">
        <f t="shared" si="4"/>
        <v>-182000</v>
      </c>
      <c r="H63" s="55">
        <f t="shared" si="3"/>
        <v>-0.21360000000000001</v>
      </c>
    </row>
    <row r="64" spans="1:8" s="4" customFormat="1" ht="15.75">
      <c r="A64" s="178" t="s">
        <v>87</v>
      </c>
      <c r="B64" s="159" t="s">
        <v>88</v>
      </c>
      <c r="C64" s="160"/>
      <c r="D64" s="52">
        <v>0</v>
      </c>
      <c r="E64" s="161">
        <f>'Table 5D - Legacy Type 2'!H22</f>
        <v>39160206</v>
      </c>
      <c r="F64" s="162"/>
      <c r="G64" s="163">
        <f t="shared" si="4"/>
        <v>39160206</v>
      </c>
      <c r="H64" s="55"/>
    </row>
    <row r="65" spans="1:8" s="4" customFormat="1" ht="15.75">
      <c r="A65" s="178" t="s">
        <v>89</v>
      </c>
      <c r="B65" s="159" t="s">
        <v>90</v>
      </c>
      <c r="C65" s="160"/>
      <c r="D65" s="52">
        <v>0</v>
      </c>
      <c r="E65" s="161">
        <f>'Table 5A1 Labs NOCCA LSMSA'!G19</f>
        <v>1616229.6330485444</v>
      </c>
      <c r="F65" s="162"/>
      <c r="G65" s="163">
        <f t="shared" si="4"/>
        <v>1616229.6330485444</v>
      </c>
      <c r="H65" s="55"/>
    </row>
    <row r="66" spans="1:8" s="4" customFormat="1" ht="16.5" thickBot="1">
      <c r="A66" s="178" t="s">
        <v>91</v>
      </c>
      <c r="B66" s="159" t="s">
        <v>92</v>
      </c>
      <c r="C66" s="160"/>
      <c r="D66" s="52">
        <v>0</v>
      </c>
      <c r="E66" s="161">
        <f>'Table 5A1 Labs NOCCA LSMSA'!G20</f>
        <v>377623.74603937956</v>
      </c>
      <c r="F66" s="162"/>
      <c r="G66" s="163">
        <f t="shared" si="4"/>
        <v>377623.74603937956</v>
      </c>
      <c r="H66" s="55"/>
    </row>
    <row r="67" spans="1:8" s="4" customFormat="1" ht="16.5" thickBot="1">
      <c r="A67" s="182" t="s">
        <v>93</v>
      </c>
      <c r="B67" s="183" t="s">
        <v>94</v>
      </c>
      <c r="C67" s="184"/>
      <c r="D67" s="185">
        <v>3443772631.4558773</v>
      </c>
      <c r="E67" s="186">
        <f>E48+E51+E54+E60+E61+E62+E63+E64+E65+E66</f>
        <v>3522485172.2511568</v>
      </c>
      <c r="F67" s="187"/>
      <c r="G67" s="188">
        <f t="shared" si="4"/>
        <v>78712540.795279503</v>
      </c>
      <c r="H67" s="189">
        <f t="shared" si="3"/>
        <v>2.29E-2</v>
      </c>
    </row>
    <row r="68" spans="1:8" s="4" customFormat="1" ht="23.25" customHeight="1">
      <c r="A68" s="178" t="s">
        <v>95</v>
      </c>
      <c r="B68" s="51" t="s">
        <v>96</v>
      </c>
      <c r="C68" s="51"/>
      <c r="D68" s="52">
        <v>-124470472.70012882</v>
      </c>
      <c r="E68" s="161">
        <f>SUM(E69:E90)</f>
        <v>-98452246.816250801</v>
      </c>
      <c r="F68" s="162"/>
      <c r="G68" s="163">
        <f t="shared" si="4"/>
        <v>26018225.883878022</v>
      </c>
      <c r="H68" s="190">
        <f t="shared" si="3"/>
        <v>-0.20899999999999999</v>
      </c>
    </row>
    <row r="69" spans="1:8" s="4" customFormat="1" ht="20.25" customHeight="1">
      <c r="A69" s="25"/>
      <c r="B69" s="64" t="s">
        <v>11</v>
      </c>
      <c r="C69" s="45" t="s">
        <v>97</v>
      </c>
      <c r="D69" s="47">
        <v>-4821885.991483923</v>
      </c>
      <c r="E69" s="191">
        <f>'Table 2 Distributions &amp; Adjust'!F76</f>
        <v>-4832541.4183488842</v>
      </c>
      <c r="F69" s="192"/>
      <c r="G69" s="193">
        <f t="shared" si="4"/>
        <v>-10655.426864961162</v>
      </c>
      <c r="H69" s="32">
        <f t="shared" si="3"/>
        <v>2.2000000000000001E-3</v>
      </c>
    </row>
    <row r="70" spans="1:8" s="4" customFormat="1" ht="20.25" customHeight="1">
      <c r="A70" s="25"/>
      <c r="B70" s="194" t="s">
        <v>21</v>
      </c>
      <c r="C70" s="195" t="s">
        <v>98</v>
      </c>
      <c r="D70" s="196">
        <v>-4926.9840192758566</v>
      </c>
      <c r="E70" s="197">
        <f>'Table 5A1 Labs NOCCA LSMSA'!H10</f>
        <v>-5039</v>
      </c>
      <c r="F70" s="198"/>
      <c r="G70" s="193">
        <f t="shared" si="4"/>
        <v>-112.01598072414345</v>
      </c>
      <c r="H70" s="32">
        <f t="shared" si="3"/>
        <v>2.2700000000000001E-2</v>
      </c>
    </row>
    <row r="71" spans="1:8" s="4" customFormat="1" ht="20.25" customHeight="1">
      <c r="A71" s="25"/>
      <c r="B71" s="194" t="s">
        <v>23</v>
      </c>
      <c r="C71" s="199" t="s">
        <v>99</v>
      </c>
      <c r="D71" s="200">
        <v>-1192145.4608148062</v>
      </c>
      <c r="E71" s="201">
        <f>'Table 5B1_RSD_Orleans'!M63+'Table 5B2_RSD_LA'!Q38</f>
        <v>-1378138.8896744177</v>
      </c>
      <c r="F71" s="198"/>
      <c r="G71" s="193">
        <f t="shared" si="4"/>
        <v>-185993.42885961151</v>
      </c>
      <c r="H71" s="32">
        <f t="shared" si="3"/>
        <v>0.156</v>
      </c>
    </row>
    <row r="72" spans="1:8" s="4" customFormat="1" ht="20.25" customHeight="1">
      <c r="A72" s="25"/>
      <c r="B72" s="194" t="s">
        <v>25</v>
      </c>
      <c r="C72" s="199" t="s">
        <v>100</v>
      </c>
      <c r="D72" s="200">
        <v>-16358.246736207262</v>
      </c>
      <c r="E72" s="201">
        <f>'Table 5C1 - Type 2s'!N11+'Table 5C1 - Type 2s'!N28+'Table 5C1 - Type 2s'!N47</f>
        <v>-25836</v>
      </c>
      <c r="F72" s="198"/>
      <c r="G72" s="193">
        <f t="shared" si="4"/>
        <v>-9477.7532637927379</v>
      </c>
      <c r="H72" s="32">
        <f t="shared" si="3"/>
        <v>0.57940000000000003</v>
      </c>
    </row>
    <row r="73" spans="1:8" s="4" customFormat="1" ht="20.25" customHeight="1">
      <c r="A73" s="25"/>
      <c r="B73" s="194" t="s">
        <v>27</v>
      </c>
      <c r="C73" s="199" t="s">
        <v>101</v>
      </c>
      <c r="D73" s="200">
        <v>0</v>
      </c>
      <c r="E73" s="201">
        <f>'Table 5D - Legacy Type 2'!O18</f>
        <v>0</v>
      </c>
      <c r="F73" s="198"/>
      <c r="G73" s="193">
        <f t="shared" si="4"/>
        <v>0</v>
      </c>
      <c r="H73" s="32"/>
    </row>
    <row r="74" spans="1:8" s="4" customFormat="1" ht="20.25" customHeight="1">
      <c r="A74" s="25"/>
      <c r="B74" s="202" t="s">
        <v>29</v>
      </c>
      <c r="C74" s="203" t="s">
        <v>102</v>
      </c>
      <c r="D74" s="204">
        <v>35493019</v>
      </c>
      <c r="E74" s="205">
        <f>'October midyear adj'!K75</f>
        <v>33389802.403719958</v>
      </c>
      <c r="F74" s="206"/>
      <c r="G74" s="207">
        <f>E74-D74</f>
        <v>-2103216.5962800421</v>
      </c>
      <c r="H74" s="208"/>
    </row>
    <row r="75" spans="1:8" s="4" customFormat="1" ht="20.25" customHeight="1">
      <c r="A75" s="25"/>
      <c r="B75" s="202" t="s">
        <v>103</v>
      </c>
      <c r="C75" s="203" t="s">
        <v>104</v>
      </c>
      <c r="D75" s="204">
        <v>5049785</v>
      </c>
      <c r="E75" s="205">
        <f>'Table 5B1_RSD_Orleans'!I8+'Table 5B1_RSD_Orleans'!I62+'Table 5B2_RSD_LA'!I38</f>
        <v>6375390.113985667</v>
      </c>
      <c r="F75" s="206"/>
      <c r="G75" s="207">
        <f t="shared" ref="G75:G82" si="5">E75-D75</f>
        <v>1325605.113985667</v>
      </c>
      <c r="H75" s="208"/>
    </row>
    <row r="76" spans="1:8" s="4" customFormat="1" ht="20.25" customHeight="1">
      <c r="A76" s="25"/>
      <c r="B76" s="26" t="s">
        <v>105</v>
      </c>
      <c r="C76" s="203" t="s">
        <v>106</v>
      </c>
      <c r="D76" s="204">
        <v>597716</v>
      </c>
      <c r="E76" s="205">
        <f>'Table 5C1 - Type 2s'!H11+'Table 5C1 - Type 2s'!H28+'Table 5C1 - Type 2s'!H47+'Table 5C1 - Type 2s'!H65+'Table 5C1 - Type 2s'!H79+'Table 5C1 - Type 2s'!H92+'Table 5C2 - LA Virtual Admy '!I74+'Table 5C3 - LA Connections  '!I74</f>
        <v>1625855.6016310954</v>
      </c>
      <c r="F76" s="206"/>
      <c r="G76" s="207">
        <f t="shared" si="5"/>
        <v>1028139.6016310954</v>
      </c>
      <c r="H76" s="208"/>
    </row>
    <row r="77" spans="1:8" s="4" customFormat="1" ht="20.25" customHeight="1">
      <c r="A77" s="25"/>
      <c r="B77" s="26" t="s">
        <v>107</v>
      </c>
      <c r="C77" s="203" t="s">
        <v>108</v>
      </c>
      <c r="D77" s="204">
        <v>-76433</v>
      </c>
      <c r="E77" s="205">
        <f>'Table 5A1 Labs NOCCA LSMSA'!J10</f>
        <v>-10436.371565821446</v>
      </c>
      <c r="F77" s="206"/>
      <c r="G77" s="207">
        <f t="shared" si="5"/>
        <v>65996.62843417855</v>
      </c>
      <c r="H77" s="208"/>
    </row>
    <row r="78" spans="1:8" s="4" customFormat="1" ht="20.25" customHeight="1">
      <c r="A78" s="25"/>
      <c r="B78" s="26" t="s">
        <v>109</v>
      </c>
      <c r="C78" s="203" t="s">
        <v>110</v>
      </c>
      <c r="D78" s="204">
        <v>-199020</v>
      </c>
      <c r="E78" s="205">
        <f>'October midyear adj'!K205</f>
        <v>0</v>
      </c>
      <c r="F78" s="206"/>
      <c r="G78" s="207">
        <f t="shared" si="5"/>
        <v>199020</v>
      </c>
      <c r="H78" s="208"/>
    </row>
    <row r="79" spans="1:8" s="4" customFormat="1" ht="20.25" customHeight="1">
      <c r="A79" s="25"/>
      <c r="B79" s="26" t="s">
        <v>111</v>
      </c>
      <c r="C79" s="203" t="s">
        <v>112</v>
      </c>
      <c r="D79" s="204">
        <v>0</v>
      </c>
      <c r="E79" s="205">
        <f>'Table 5D - Legacy Type 2'!I18</f>
        <v>1467287.7025741155</v>
      </c>
      <c r="F79" s="206"/>
      <c r="G79" s="207">
        <f t="shared" si="5"/>
        <v>1467287.7025741155</v>
      </c>
      <c r="H79" s="208"/>
    </row>
    <row r="80" spans="1:8" s="4" customFormat="1" ht="20.25" customHeight="1">
      <c r="A80" s="25"/>
      <c r="B80" s="26" t="s">
        <v>113</v>
      </c>
      <c r="C80" s="203" t="s">
        <v>114</v>
      </c>
      <c r="D80" s="204">
        <v>0</v>
      </c>
      <c r="E80" s="205">
        <f>'Table 5A1 Labs NOCCA LSMSA'!J19</f>
        <v>-35247.924565505455</v>
      </c>
      <c r="F80" s="206"/>
      <c r="G80" s="207">
        <f t="shared" si="5"/>
        <v>-35247.924565505455</v>
      </c>
      <c r="H80" s="208"/>
    </row>
    <row r="81" spans="1:8" s="4" customFormat="1" ht="20.25" customHeight="1">
      <c r="A81" s="25"/>
      <c r="B81" s="209" t="s">
        <v>115</v>
      </c>
      <c r="C81" s="210" t="s">
        <v>116</v>
      </c>
      <c r="D81" s="204">
        <v>0</v>
      </c>
      <c r="E81" s="205">
        <f>'Table 5A1 Labs NOCCA LSMSA'!J20</f>
        <v>-95672.938106371948</v>
      </c>
      <c r="F81" s="211"/>
      <c r="G81" s="212">
        <f t="shared" si="5"/>
        <v>-95672.938106371948</v>
      </c>
      <c r="H81" s="213"/>
    </row>
    <row r="82" spans="1:8" s="4" customFormat="1" ht="20.25" customHeight="1">
      <c r="A82" s="25"/>
      <c r="B82" s="64" t="s">
        <v>117</v>
      </c>
      <c r="C82" s="214" t="s">
        <v>118</v>
      </c>
      <c r="D82" s="215">
        <v>-10245733</v>
      </c>
      <c r="E82" s="216">
        <f>'February midyear adj '!K75</f>
        <v>-6534738.7677073088</v>
      </c>
      <c r="F82" s="217"/>
      <c r="G82" s="193">
        <f t="shared" si="5"/>
        <v>3710994.2322926912</v>
      </c>
      <c r="H82" s="100"/>
    </row>
    <row r="83" spans="1:8" s="4" customFormat="1" ht="20.25" customHeight="1">
      <c r="A83" s="25"/>
      <c r="B83" s="26" t="s">
        <v>119</v>
      </c>
      <c r="C83" s="203" t="s">
        <v>120</v>
      </c>
      <c r="D83" s="204">
        <v>-486906</v>
      </c>
      <c r="E83" s="205">
        <f>'Table 5B1_RSD_Orleans'!J8+'Table 5B1_RSD_Orleans'!J62+'Table 5B2_RSD_LA'!J38</f>
        <v>-534902.64251243346</v>
      </c>
      <c r="F83" s="206"/>
      <c r="G83" s="207"/>
      <c r="H83" s="208"/>
    </row>
    <row r="84" spans="1:8" s="4" customFormat="1" ht="20.25" customHeight="1">
      <c r="A84" s="25"/>
      <c r="B84" s="26" t="s">
        <v>121</v>
      </c>
      <c r="C84" s="203" t="s">
        <v>122</v>
      </c>
      <c r="D84" s="204">
        <v>28157</v>
      </c>
      <c r="E84" s="205">
        <f>'Table 5C1 - Type 2s'!I11+'Table 5C1 - Type 2s'!I28+'Table 5C1 - Type 2s'!I47+'Table 5C1 - Type 2s'!I65+'Table 5C1 - Type 2s'!I79+'Table 5C1 - Type 2s'!I92+'Table 5C2 - LA Virtual Admy '!J74+'Table 5C3 - LA Connections  '!J74</f>
        <v>61235.958830908843</v>
      </c>
      <c r="F84" s="206"/>
      <c r="G84" s="207"/>
      <c r="H84" s="208"/>
    </row>
    <row r="85" spans="1:8" s="4" customFormat="1" ht="20.25" customHeight="1">
      <c r="A85" s="25"/>
      <c r="B85" s="26" t="s">
        <v>123</v>
      </c>
      <c r="C85" s="203" t="s">
        <v>124</v>
      </c>
      <c r="D85" s="204">
        <v>-25008</v>
      </c>
      <c r="E85" s="205">
        <f>'Table 5A1 Labs NOCCA LSMSA'!K10</f>
        <v>-57848.827696329019</v>
      </c>
      <c r="F85" s="206"/>
      <c r="G85" s="207"/>
      <c r="H85" s="208"/>
    </row>
    <row r="86" spans="1:8" s="4" customFormat="1" ht="20.25" customHeight="1">
      <c r="A86" s="25"/>
      <c r="B86" s="26" t="s">
        <v>125</v>
      </c>
      <c r="C86" s="203" t="s">
        <v>126</v>
      </c>
      <c r="D86" s="204">
        <v>0</v>
      </c>
      <c r="E86" s="205">
        <f>'Table 5D - Legacy Type 2'!J18</f>
        <v>-294622.35845996049</v>
      </c>
      <c r="F86" s="206"/>
      <c r="G86" s="207"/>
      <c r="H86" s="208"/>
    </row>
    <row r="87" spans="1:8" s="4" customFormat="1" ht="20.25" customHeight="1">
      <c r="A87" s="25"/>
      <c r="B87" s="26" t="s">
        <v>127</v>
      </c>
      <c r="C87" s="203" t="s">
        <v>128</v>
      </c>
      <c r="D87" s="204">
        <v>0</v>
      </c>
      <c r="E87" s="205">
        <f>'Table 5A1 Labs NOCCA LSMSA'!K19</f>
        <v>-47836.469053185974</v>
      </c>
      <c r="F87" s="206"/>
      <c r="G87" s="207"/>
      <c r="H87" s="208"/>
    </row>
    <row r="88" spans="1:8" s="4" customFormat="1" ht="20.25" customHeight="1">
      <c r="A88" s="25"/>
      <c r="B88" s="26" t="s">
        <v>129</v>
      </c>
      <c r="C88" s="203" t="s">
        <v>130</v>
      </c>
      <c r="D88" s="204">
        <v>0</v>
      </c>
      <c r="E88" s="205">
        <f>'Table 5A1 Labs NOCCA LSMSA'!K20</f>
        <v>-12588.54448768052</v>
      </c>
      <c r="F88" s="206"/>
      <c r="G88" s="207"/>
      <c r="H88" s="208"/>
    </row>
    <row r="89" spans="1:8" s="4" customFormat="1" ht="20.25" customHeight="1">
      <c r="A89" s="25"/>
      <c r="B89" s="202" t="s">
        <v>47</v>
      </c>
      <c r="C89" s="210" t="s">
        <v>131</v>
      </c>
      <c r="D89" s="204">
        <v>-118435156.01707461</v>
      </c>
      <c r="E89" s="205">
        <f>-E54</f>
        <v>-124299466.42490982</v>
      </c>
      <c r="F89" s="206"/>
      <c r="G89" s="207">
        <f>E89-D89</f>
        <v>-5864310.4078352004</v>
      </c>
      <c r="H89" s="208">
        <f>ROUND((E89/D89)-1,4)</f>
        <v>4.9500000000000002E-2</v>
      </c>
    </row>
    <row r="90" spans="1:8" s="4" customFormat="1" ht="20.25" customHeight="1" thickBot="1">
      <c r="A90" s="25"/>
      <c r="B90" s="152" t="s">
        <v>132</v>
      </c>
      <c r="C90" s="214" t="s">
        <v>133</v>
      </c>
      <c r="D90" s="196">
        <v>0</v>
      </c>
      <c r="E90" s="197">
        <f>-E60</f>
        <v>-3206902.019904824</v>
      </c>
      <c r="F90" s="198"/>
      <c r="G90" s="207">
        <f>E90-D90</f>
        <v>-3206902.019904824</v>
      </c>
      <c r="H90" s="218"/>
    </row>
    <row r="91" spans="1:8" s="4" customFormat="1" ht="23.25" customHeight="1" thickBot="1">
      <c r="A91" s="219" t="s">
        <v>134</v>
      </c>
      <c r="B91" s="1600" t="s">
        <v>135</v>
      </c>
      <c r="C91" s="1601"/>
      <c r="D91" s="220">
        <v>3319302158.7557483</v>
      </c>
      <c r="E91" s="221">
        <f>E67+E68</f>
        <v>3424032925.434906</v>
      </c>
      <c r="F91" s="222"/>
      <c r="G91" s="223">
        <f>E91-D91</f>
        <v>104730766.67915773</v>
      </c>
      <c r="H91" s="224">
        <f t="shared" si="3"/>
        <v>3.1600000000000003E-2</v>
      </c>
    </row>
    <row r="92" spans="1:8" s="229" customFormat="1" ht="24" customHeight="1" thickBot="1">
      <c r="A92" s="225" t="s">
        <v>136</v>
      </c>
      <c r="B92" s="1602" t="s">
        <v>137</v>
      </c>
      <c r="C92" s="1603"/>
      <c r="D92" s="226">
        <f>3319479903-177744</f>
        <v>3319302159</v>
      </c>
      <c r="E92" s="227">
        <v>3387319481</v>
      </c>
      <c r="F92" s="228"/>
      <c r="G92" s="226"/>
      <c r="H92" s="226"/>
    </row>
    <row r="93" spans="1:8" s="229" customFormat="1" ht="24" customHeight="1">
      <c r="A93" s="230"/>
      <c r="B93" s="1604" t="s">
        <v>138</v>
      </c>
      <c r="C93" s="1604"/>
      <c r="D93" s="231"/>
      <c r="E93" s="232">
        <v>42700734</v>
      </c>
      <c r="F93" s="233"/>
      <c r="G93" s="234"/>
      <c r="H93" s="235"/>
    </row>
    <row r="94" spans="1:8" s="229" customFormat="1" ht="24" customHeight="1">
      <c r="A94" s="230"/>
      <c r="B94" s="1604" t="s">
        <v>139</v>
      </c>
      <c r="C94" s="1604"/>
      <c r="D94" s="236"/>
      <c r="E94" s="232">
        <v>-2171668</v>
      </c>
      <c r="F94" s="233"/>
      <c r="G94" s="234"/>
      <c r="H94" s="235"/>
    </row>
    <row r="95" spans="1:8" s="229" customFormat="1" ht="24" customHeight="1">
      <c r="A95" s="230"/>
      <c r="B95" s="1604" t="s">
        <v>140</v>
      </c>
      <c r="C95" s="1604"/>
      <c r="D95" s="236"/>
      <c r="E95" s="232">
        <v>2171668</v>
      </c>
      <c r="F95" s="233"/>
      <c r="G95" s="234"/>
      <c r="H95" s="235"/>
    </row>
    <row r="96" spans="1:8" s="229" customFormat="1" ht="24" customHeight="1">
      <c r="A96" s="230"/>
      <c r="B96" s="1604"/>
      <c r="C96" s="1604"/>
      <c r="D96" s="236"/>
      <c r="E96" s="232"/>
      <c r="F96" s="233"/>
      <c r="G96" s="234"/>
      <c r="H96" s="235"/>
    </row>
    <row r="97" spans="1:11" s="4" customFormat="1" ht="18.75" customHeight="1" thickBot="1">
      <c r="A97" s="237" t="s">
        <v>141</v>
      </c>
      <c r="B97" s="238" t="s">
        <v>142</v>
      </c>
      <c r="C97" s="238"/>
      <c r="D97" s="239">
        <f>D91-D92</f>
        <v>-0.24425172805786133</v>
      </c>
      <c r="E97" s="240">
        <f>E91-E92-E93-E94-E95</f>
        <v>-5987289.5650939941</v>
      </c>
      <c r="F97" s="241"/>
      <c r="G97" s="242">
        <f>E97-D97+1</f>
        <v>-5987288.3208422661</v>
      </c>
      <c r="H97" s="243"/>
    </row>
    <row r="98" spans="1:11" s="4" customFormat="1" ht="23.25" customHeight="1" thickTop="1">
      <c r="A98" s="244" t="s">
        <v>143</v>
      </c>
      <c r="B98" s="245"/>
      <c r="C98" s="245"/>
      <c r="D98" s="246"/>
      <c r="E98" s="246"/>
      <c r="F98" s="246"/>
      <c r="G98"/>
      <c r="H98"/>
    </row>
    <row r="99" spans="1:11" ht="4.5" customHeight="1">
      <c r="A99" s="245"/>
      <c r="B99" s="245"/>
      <c r="C99" s="245"/>
      <c r="D99" s="246"/>
      <c r="E99" s="247"/>
      <c r="F99" s="247"/>
    </row>
    <row r="100" spans="1:11" s="1478" customFormat="1" ht="17.25" hidden="1" customHeight="1">
      <c r="D100" s="1476"/>
      <c r="E100" s="1584"/>
      <c r="F100" s="1584"/>
      <c r="G100" s="1479"/>
      <c r="J100" s="1479"/>
    </row>
    <row r="101" spans="1:11" s="1478" customFormat="1" ht="17.25" hidden="1" customHeight="1">
      <c r="C101" s="1605" t="s">
        <v>144</v>
      </c>
      <c r="D101" s="1479"/>
      <c r="E101" s="1554">
        <f>'Table 3 Levels 1&amp;2'!V77</f>
        <v>0.65</v>
      </c>
      <c r="F101" s="1554"/>
      <c r="G101" s="1554">
        <f>'Table 3 Levels 1&amp;2'!W77</f>
        <v>0.35</v>
      </c>
      <c r="J101" s="1585"/>
    </row>
    <row r="102" spans="1:11" s="1586" customFormat="1" ht="17.25" hidden="1" customHeight="1">
      <c r="B102" s="1587"/>
      <c r="C102" s="1605"/>
      <c r="D102" s="1479"/>
      <c r="E102" s="1479"/>
      <c r="F102" s="1479"/>
      <c r="G102" s="1478"/>
      <c r="H102" s="1478"/>
      <c r="I102" s="1478"/>
    </row>
    <row r="103" spans="1:11" s="1586" customFormat="1" ht="17.25" hidden="1" customHeight="1">
      <c r="A103" s="1478"/>
      <c r="B103" s="1478"/>
      <c r="C103" s="1476"/>
      <c r="D103" s="1479"/>
      <c r="E103" s="1478"/>
      <c r="F103" s="1478"/>
      <c r="G103" s="1478"/>
      <c r="H103" s="1478"/>
      <c r="I103" s="1478"/>
      <c r="J103" s="1588"/>
      <c r="K103" s="1478"/>
    </row>
    <row r="104" spans="1:11" s="1478" customFormat="1" ht="17.25" hidden="1" customHeight="1">
      <c r="B104" s="1589"/>
      <c r="C104" s="1589"/>
      <c r="D104" s="1479"/>
      <c r="J104" s="1479"/>
    </row>
    <row r="105" spans="1:11" s="1478" customFormat="1" ht="17.25" hidden="1" customHeight="1">
      <c r="C105" s="1476" t="s">
        <v>145</v>
      </c>
      <c r="D105" s="1477"/>
      <c r="J105" s="1479"/>
    </row>
    <row r="106" spans="1:11" s="1478" customFormat="1" ht="15" hidden="1" customHeight="1">
      <c r="C106" s="1480" t="s">
        <v>146</v>
      </c>
      <c r="D106" s="1481">
        <v>1083358</v>
      </c>
      <c r="E106" s="1482"/>
      <c r="F106" s="1482"/>
      <c r="G106" s="1481">
        <v>42716971</v>
      </c>
      <c r="H106" s="1592" t="s">
        <v>147</v>
      </c>
      <c r="I106" s="1592"/>
      <c r="J106" s="1592"/>
    </row>
    <row r="107" spans="1:11" s="1478" customFormat="1" ht="15" hidden="1" customHeight="1">
      <c r="C107" s="1483" t="s">
        <v>148</v>
      </c>
      <c r="D107" s="1484">
        <f>E97</f>
        <v>-5987289.5650939941</v>
      </c>
      <c r="E107" s="1482"/>
      <c r="F107" s="1482"/>
      <c r="G107" s="1481">
        <v>-7421303</v>
      </c>
      <c r="H107" s="1592" t="s">
        <v>149</v>
      </c>
      <c r="I107" s="1592"/>
      <c r="J107" s="1592"/>
    </row>
    <row r="108" spans="1:11" s="1478" customFormat="1" ht="15" hidden="1" customHeight="1">
      <c r="C108" s="1485" t="s">
        <v>150</v>
      </c>
      <c r="D108" s="1481">
        <f>D107-D106</f>
        <v>-7070647.5650939941</v>
      </c>
      <c r="E108" s="1486"/>
      <c r="F108" s="1486"/>
      <c r="G108" s="1481">
        <v>14000</v>
      </c>
      <c r="H108" s="1592" t="s">
        <v>151</v>
      </c>
      <c r="I108" s="1592"/>
      <c r="J108" s="1592"/>
    </row>
    <row r="109" spans="1:11" s="1478" customFormat="1" ht="15" hidden="1" customHeight="1">
      <c r="C109" s="1485"/>
      <c r="D109" s="1481"/>
      <c r="E109" s="1481"/>
      <c r="F109" s="1481"/>
      <c r="G109" s="1481">
        <v>10037</v>
      </c>
      <c r="H109" s="1592" t="s">
        <v>152</v>
      </c>
      <c r="I109" s="1592"/>
      <c r="J109" s="1592"/>
    </row>
    <row r="110" spans="1:11" s="1478" customFormat="1" ht="15" hidden="1" customHeight="1">
      <c r="C110" s="1485"/>
      <c r="D110" s="1481"/>
      <c r="E110" s="1481"/>
      <c r="F110" s="1481"/>
      <c r="G110" s="1481">
        <v>310373</v>
      </c>
      <c r="H110" s="1592" t="s">
        <v>153</v>
      </c>
      <c r="I110" s="1592"/>
      <c r="J110" s="1592"/>
    </row>
    <row r="111" spans="1:11" s="1478" customFormat="1" ht="15" hidden="1" customHeight="1">
      <c r="C111" s="1485"/>
      <c r="D111" s="1481"/>
      <c r="E111" s="1481"/>
      <c r="F111" s="1481"/>
      <c r="G111" s="1481">
        <v>8</v>
      </c>
      <c r="H111" s="1478" t="s">
        <v>154</v>
      </c>
    </row>
    <row r="112" spans="1:11" s="1478" customFormat="1" ht="15" hidden="1" customHeight="1">
      <c r="C112" s="1485"/>
      <c r="D112" s="1481"/>
      <c r="G112" s="1481"/>
      <c r="H112" s="1592"/>
      <c r="I112" s="1592"/>
      <c r="J112" s="1592"/>
    </row>
    <row r="113" spans="3:7" s="1478" customFormat="1" ht="15" hidden="1" customHeight="1">
      <c r="C113" s="1485"/>
      <c r="D113" s="1481"/>
      <c r="G113" s="1481">
        <f>SUM(G106:G112)</f>
        <v>35630086</v>
      </c>
    </row>
    <row r="114" spans="3:7" s="1478" customFormat="1" ht="15" hidden="1" customHeight="1">
      <c r="C114" s="1485"/>
      <c r="D114" s="1481"/>
      <c r="G114" s="1481"/>
    </row>
    <row r="115" spans="3:7" s="1478" customFormat="1" ht="15" hidden="1" customHeight="1">
      <c r="C115" s="1485"/>
      <c r="D115" s="1481"/>
      <c r="G115" s="1481"/>
    </row>
    <row r="116" spans="3:7" s="1478" customFormat="1" ht="15" hidden="1" customHeight="1">
      <c r="C116" s="1485"/>
      <c r="D116" s="1481"/>
    </row>
    <row r="117" spans="3:7">
      <c r="C117" s="252"/>
      <c r="D117" s="251"/>
    </row>
    <row r="118" spans="3:7">
      <c r="C118" s="252"/>
    </row>
    <row r="119" spans="3:7">
      <c r="C119" s="252"/>
    </row>
    <row r="120" spans="3:7">
      <c r="C120" s="252"/>
    </row>
    <row r="121" spans="3:7">
      <c r="C121" s="252"/>
    </row>
    <row r="122" spans="3:7">
      <c r="C122" s="252"/>
    </row>
    <row r="123" spans="3:7">
      <c r="C123" s="252"/>
    </row>
  </sheetData>
  <mergeCells count="24">
    <mergeCell ref="A2:H2"/>
    <mergeCell ref="A3:H3"/>
    <mergeCell ref="A4:H4"/>
    <mergeCell ref="D5:D8"/>
    <mergeCell ref="E5:F8"/>
    <mergeCell ref="G5:G8"/>
    <mergeCell ref="H5:H8"/>
    <mergeCell ref="H106:J106"/>
    <mergeCell ref="B10:C10"/>
    <mergeCell ref="B39:C39"/>
    <mergeCell ref="B50:C50"/>
    <mergeCell ref="E50:F50"/>
    <mergeCell ref="B91:C91"/>
    <mergeCell ref="B92:C92"/>
    <mergeCell ref="B93:C93"/>
    <mergeCell ref="B94:C94"/>
    <mergeCell ref="B95:C95"/>
    <mergeCell ref="B96:C96"/>
    <mergeCell ref="C101:C102"/>
    <mergeCell ref="H107:J107"/>
    <mergeCell ref="H108:J108"/>
    <mergeCell ref="H109:J109"/>
    <mergeCell ref="H110:J110"/>
    <mergeCell ref="H112:J112"/>
  </mergeCells>
  <printOptions horizontalCentered="1"/>
  <pageMargins left="0.25" right="0.25" top="0.48" bottom="0.16" header="0.21" footer="0.16"/>
  <pageSetup paperSize="5" scale="60" orientation="portrait" useFirstPageNumber="1" r:id="rId1"/>
  <headerFooter alignWithMargins="0">
    <oddFooter>&amp;R&amp;12&amp;P</oddFooter>
  </headerFooter>
  <rowBreaks count="1" manualBreakCount="1">
    <brk id="81" max="7" man="1"/>
  </rowBreaks>
</worksheet>
</file>

<file path=xl/worksheets/sheet10.xml><?xml version="1.0" encoding="utf-8"?>
<worksheet xmlns="http://schemas.openxmlformats.org/spreadsheetml/2006/main" xmlns:r="http://schemas.openxmlformats.org/officeDocument/2006/relationships">
  <dimension ref="A1:AP54"/>
  <sheetViews>
    <sheetView view="pageBreakPreview" zoomScale="50" zoomScaleNormal="75" zoomScaleSheetLayoutView="50" workbookViewId="0">
      <pane xSplit="2" ySplit="6" topLeftCell="C7" activePane="bottomRight" state="frozen"/>
      <selection pane="topRight"/>
      <selection pane="bottomLeft"/>
      <selection pane="bottomRight" activeCell="A46" sqref="A46:XFD54"/>
    </sheetView>
  </sheetViews>
  <sheetFormatPr defaultRowHeight="12.75"/>
  <cols>
    <col min="1" max="1" width="11.28515625" customWidth="1"/>
    <col min="2" max="2" width="33.28515625" customWidth="1"/>
    <col min="3" max="3" width="12.140625" bestFit="1" customWidth="1"/>
    <col min="4" max="4" width="13.5703125" customWidth="1"/>
    <col min="5" max="5" width="18" customWidth="1"/>
    <col min="6" max="6" width="18.42578125" customWidth="1"/>
    <col min="7" max="7" width="19.7109375" customWidth="1"/>
    <col min="8" max="8" width="20" customWidth="1"/>
    <col min="9" max="10" width="21.42578125" customWidth="1"/>
    <col min="11" max="11" width="22.28515625" customWidth="1"/>
    <col min="12" max="12" width="21.42578125" customWidth="1"/>
    <col min="13" max="15" width="18.28515625" customWidth="1"/>
    <col min="16" max="16" width="19.42578125" customWidth="1"/>
    <col min="17" max="17" width="15.85546875" customWidth="1"/>
    <col min="18" max="18" width="20.85546875" customWidth="1"/>
    <col min="19" max="19" width="16.140625" customWidth="1"/>
    <col min="20" max="20" width="20.85546875" customWidth="1"/>
    <col min="21" max="21" width="18.28515625" customWidth="1"/>
    <col min="22" max="40" width="20.85546875" customWidth="1"/>
    <col min="41" max="41" width="19.28515625" bestFit="1" customWidth="1"/>
    <col min="42" max="42" width="18.140625" customWidth="1"/>
  </cols>
  <sheetData>
    <row r="1" spans="1:42" ht="15.75">
      <c r="A1" s="694"/>
      <c r="B1" s="694"/>
    </row>
    <row r="2" spans="1:42" ht="22.5" customHeight="1">
      <c r="B2" s="1745"/>
      <c r="C2" s="1745"/>
      <c r="D2" s="1745"/>
      <c r="E2" s="1745"/>
      <c r="F2" s="1745"/>
      <c r="G2" s="1745"/>
      <c r="H2" s="1745"/>
      <c r="I2" s="1745"/>
      <c r="J2" s="1745"/>
      <c r="K2" s="1745"/>
      <c r="L2" s="1745"/>
      <c r="M2" s="1745"/>
      <c r="N2" s="1745"/>
      <c r="O2" s="1745"/>
      <c r="P2" s="1745"/>
      <c r="Q2" s="1745"/>
      <c r="R2" s="1745"/>
      <c r="S2" s="695"/>
      <c r="T2" s="695"/>
      <c r="U2" s="695"/>
      <c r="V2" s="695"/>
      <c r="W2" s="696"/>
      <c r="X2" s="696"/>
      <c r="Y2" s="696"/>
      <c r="Z2" s="696"/>
      <c r="AA2" s="696"/>
      <c r="AB2" s="696"/>
      <c r="AC2" s="696"/>
      <c r="AD2" s="696"/>
      <c r="AE2" s="696"/>
    </row>
    <row r="3" spans="1:42" ht="41.25" customHeight="1">
      <c r="C3" s="320"/>
      <c r="D3" s="697"/>
      <c r="E3" s="616"/>
      <c r="F3" s="1746" t="s">
        <v>542</v>
      </c>
      <c r="G3" s="1747"/>
      <c r="H3" s="616"/>
      <c r="I3" s="1724" t="s">
        <v>156</v>
      </c>
      <c r="J3" s="1725"/>
      <c r="K3" s="1726"/>
      <c r="L3" s="616"/>
      <c r="M3" s="1744" t="s">
        <v>543</v>
      </c>
      <c r="N3" s="1744"/>
      <c r="O3" s="1744"/>
      <c r="P3" s="698"/>
      <c r="Q3" s="616"/>
      <c r="R3" s="616"/>
      <c r="S3" s="616"/>
      <c r="T3" s="616"/>
      <c r="U3" s="616"/>
      <c r="V3" s="616"/>
      <c r="W3" s="616"/>
      <c r="X3" s="616"/>
      <c r="Y3" s="616"/>
      <c r="Z3" s="1748" t="s">
        <v>544</v>
      </c>
      <c r="AA3" s="1749"/>
      <c r="AB3" s="1749"/>
      <c r="AC3" s="1749"/>
      <c r="AD3" s="1750"/>
      <c r="AE3" s="699"/>
      <c r="AF3" s="1744" t="s">
        <v>545</v>
      </c>
      <c r="AG3" s="1744"/>
      <c r="AH3" s="1744"/>
      <c r="AI3" s="616"/>
      <c r="AJ3" s="616"/>
      <c r="AK3" s="616"/>
      <c r="AL3" s="616"/>
      <c r="AM3" s="616"/>
      <c r="AN3" s="616"/>
    </row>
    <row r="4" spans="1:42" ht="106.5" customHeight="1">
      <c r="A4" s="1655" t="s">
        <v>463</v>
      </c>
      <c r="B4" s="1655" t="s">
        <v>157</v>
      </c>
      <c r="C4" s="1742" t="s">
        <v>546</v>
      </c>
      <c r="D4" s="1655" t="s">
        <v>547</v>
      </c>
      <c r="E4" s="1652" t="s">
        <v>548</v>
      </c>
      <c r="F4" s="1655" t="s">
        <v>549</v>
      </c>
      <c r="G4" s="1655" t="s">
        <v>550</v>
      </c>
      <c r="H4" s="1652" t="s">
        <v>551</v>
      </c>
      <c r="I4" s="1740" t="s">
        <v>552</v>
      </c>
      <c r="J4" s="1740" t="s">
        <v>553</v>
      </c>
      <c r="K4" s="1740" t="s">
        <v>554</v>
      </c>
      <c r="L4" s="1740" t="s">
        <v>555</v>
      </c>
      <c r="M4" s="364" t="s">
        <v>556</v>
      </c>
      <c r="N4" s="364" t="s">
        <v>557</v>
      </c>
      <c r="O4" s="1734" t="s">
        <v>558</v>
      </c>
      <c r="P4" s="1652" t="s">
        <v>559</v>
      </c>
      <c r="Q4" s="1738" t="s">
        <v>560</v>
      </c>
      <c r="R4" s="1652" t="s">
        <v>561</v>
      </c>
      <c r="S4" s="1713" t="s">
        <v>442</v>
      </c>
      <c r="T4" s="1652" t="s">
        <v>562</v>
      </c>
      <c r="U4" s="1661" t="s">
        <v>444</v>
      </c>
      <c r="V4" s="1661" t="s">
        <v>445</v>
      </c>
      <c r="W4" s="1652" t="s">
        <v>563</v>
      </c>
      <c r="X4" s="1736" t="s">
        <v>564</v>
      </c>
      <c r="Y4" s="1736" t="s">
        <v>565</v>
      </c>
      <c r="Z4" s="1661" t="s">
        <v>566</v>
      </c>
      <c r="AA4" s="1661" t="s">
        <v>567</v>
      </c>
      <c r="AB4" s="1661" t="s">
        <v>568</v>
      </c>
      <c r="AC4" s="1661" t="s">
        <v>569</v>
      </c>
      <c r="AD4" s="1661" t="s">
        <v>570</v>
      </c>
      <c r="AE4" s="1733" t="s">
        <v>571</v>
      </c>
      <c r="AF4" s="364" t="s">
        <v>556</v>
      </c>
      <c r="AG4" s="364" t="s">
        <v>557</v>
      </c>
      <c r="AH4" s="1734" t="s">
        <v>558</v>
      </c>
      <c r="AI4" s="1736" t="s">
        <v>572</v>
      </c>
      <c r="AJ4" s="1652" t="s">
        <v>560</v>
      </c>
      <c r="AK4" s="1736" t="s">
        <v>573</v>
      </c>
      <c r="AL4" s="700" t="s">
        <v>574</v>
      </c>
      <c r="AM4" s="700" t="s">
        <v>445</v>
      </c>
      <c r="AN4" s="1736" t="s">
        <v>575</v>
      </c>
      <c r="AO4" s="1731" t="s">
        <v>576</v>
      </c>
      <c r="AP4" s="1731" t="s">
        <v>577</v>
      </c>
    </row>
    <row r="5" spans="1:42" ht="60.75" customHeight="1">
      <c r="A5" s="1657" t="s">
        <v>476</v>
      </c>
      <c r="B5" s="1657"/>
      <c r="C5" s="1743"/>
      <c r="D5" s="1657"/>
      <c r="E5" s="1654"/>
      <c r="F5" s="1657"/>
      <c r="G5" s="1657"/>
      <c r="H5" s="1654"/>
      <c r="I5" s="1741"/>
      <c r="J5" s="1741"/>
      <c r="K5" s="1741"/>
      <c r="L5" s="1741"/>
      <c r="M5" s="701">
        <v>1.7500000000000002E-2</v>
      </c>
      <c r="N5" s="701">
        <v>2.5000000000000001E-3</v>
      </c>
      <c r="O5" s="1735"/>
      <c r="P5" s="1654"/>
      <c r="Q5" s="1739"/>
      <c r="R5" s="1654"/>
      <c r="S5" s="1714"/>
      <c r="T5" s="1654"/>
      <c r="U5" s="1715"/>
      <c r="V5" s="1715"/>
      <c r="W5" s="1654"/>
      <c r="X5" s="1737"/>
      <c r="Y5" s="1737"/>
      <c r="Z5" s="1663"/>
      <c r="AA5" s="1663"/>
      <c r="AB5" s="1663"/>
      <c r="AC5" s="1663"/>
      <c r="AD5" s="1663"/>
      <c r="AE5" s="1733"/>
      <c r="AF5" s="701">
        <v>1.7500000000000002E-2</v>
      </c>
      <c r="AG5" s="701">
        <v>2.5000000000000001E-3</v>
      </c>
      <c r="AH5" s="1735"/>
      <c r="AI5" s="1737"/>
      <c r="AJ5" s="1654"/>
      <c r="AK5" s="1737"/>
      <c r="AL5" s="702"/>
      <c r="AM5" s="702"/>
      <c r="AN5" s="1737"/>
      <c r="AO5" s="1732"/>
      <c r="AP5" s="1732"/>
    </row>
    <row r="6" spans="1:42">
      <c r="A6" s="591"/>
      <c r="B6" s="591"/>
      <c r="C6" s="592">
        <v>1</v>
      </c>
      <c r="D6" s="592">
        <f t="shared" ref="D6:AP6" si="0">C6+1</f>
        <v>2</v>
      </c>
      <c r="E6" s="592">
        <f t="shared" si="0"/>
        <v>3</v>
      </c>
      <c r="F6" s="592">
        <f t="shared" si="0"/>
        <v>4</v>
      </c>
      <c r="G6" s="592">
        <f t="shared" si="0"/>
        <v>5</v>
      </c>
      <c r="H6" s="592">
        <f t="shared" si="0"/>
        <v>6</v>
      </c>
      <c r="I6" s="592">
        <f t="shared" si="0"/>
        <v>7</v>
      </c>
      <c r="J6" s="592">
        <f t="shared" si="0"/>
        <v>8</v>
      </c>
      <c r="K6" s="592">
        <f t="shared" si="0"/>
        <v>9</v>
      </c>
      <c r="L6" s="592">
        <f t="shared" si="0"/>
        <v>10</v>
      </c>
      <c r="M6" s="592">
        <f t="shared" si="0"/>
        <v>11</v>
      </c>
      <c r="N6" s="592">
        <f t="shared" si="0"/>
        <v>12</v>
      </c>
      <c r="O6" s="592">
        <f t="shared" si="0"/>
        <v>13</v>
      </c>
      <c r="P6" s="592">
        <f t="shared" si="0"/>
        <v>14</v>
      </c>
      <c r="Q6" s="592">
        <f t="shared" si="0"/>
        <v>15</v>
      </c>
      <c r="R6" s="592">
        <f t="shared" si="0"/>
        <v>16</v>
      </c>
      <c r="S6" s="592">
        <f t="shared" si="0"/>
        <v>17</v>
      </c>
      <c r="T6" s="592">
        <f t="shared" si="0"/>
        <v>18</v>
      </c>
      <c r="U6" s="592">
        <f t="shared" si="0"/>
        <v>19</v>
      </c>
      <c r="V6" s="592">
        <f t="shared" si="0"/>
        <v>20</v>
      </c>
      <c r="W6" s="592">
        <f t="shared" si="0"/>
        <v>21</v>
      </c>
      <c r="X6" s="592">
        <f t="shared" si="0"/>
        <v>22</v>
      </c>
      <c r="Y6" s="592">
        <f t="shared" si="0"/>
        <v>23</v>
      </c>
      <c r="Z6" s="592">
        <f t="shared" si="0"/>
        <v>24</v>
      </c>
      <c r="AA6" s="592">
        <f t="shared" si="0"/>
        <v>25</v>
      </c>
      <c r="AB6" s="592">
        <f t="shared" si="0"/>
        <v>26</v>
      </c>
      <c r="AC6" s="592">
        <f t="shared" si="0"/>
        <v>27</v>
      </c>
      <c r="AD6" s="592">
        <f t="shared" si="0"/>
        <v>28</v>
      </c>
      <c r="AE6" s="592">
        <f t="shared" si="0"/>
        <v>29</v>
      </c>
      <c r="AF6" s="592">
        <f t="shared" si="0"/>
        <v>30</v>
      </c>
      <c r="AG6" s="592">
        <f t="shared" si="0"/>
        <v>31</v>
      </c>
      <c r="AH6" s="592">
        <f t="shared" si="0"/>
        <v>32</v>
      </c>
      <c r="AI6" s="592">
        <f t="shared" si="0"/>
        <v>33</v>
      </c>
      <c r="AJ6" s="592">
        <f t="shared" si="0"/>
        <v>34</v>
      </c>
      <c r="AK6" s="592">
        <f t="shared" si="0"/>
        <v>35</v>
      </c>
      <c r="AL6" s="592">
        <f t="shared" si="0"/>
        <v>36</v>
      </c>
      <c r="AM6" s="592">
        <f t="shared" si="0"/>
        <v>37</v>
      </c>
      <c r="AN6" s="592">
        <f t="shared" si="0"/>
        <v>38</v>
      </c>
      <c r="AO6" s="592">
        <f t="shared" si="0"/>
        <v>39</v>
      </c>
      <c r="AP6" s="592">
        <f t="shared" si="0"/>
        <v>40</v>
      </c>
    </row>
    <row r="7" spans="1:42" s="441" customFormat="1" ht="30" customHeight="1">
      <c r="A7" s="703"/>
      <c r="B7" s="703" t="s">
        <v>578</v>
      </c>
      <c r="C7" s="704">
        <f>'[4]Table 8   2-1-10 Membership'!U22</f>
        <v>40736</v>
      </c>
      <c r="D7" s="705">
        <f>'Table 3 Levels 1&amp;2'!$AL$24</f>
        <v>3266.8023094143459</v>
      </c>
      <c r="E7" s="706">
        <f>ROUND(C7*D7,0)</f>
        <v>133076459</v>
      </c>
      <c r="F7" s="706">
        <v>801.47762416806802</v>
      </c>
      <c r="G7" s="706">
        <f>F7*C7</f>
        <v>32648992.498110417</v>
      </c>
      <c r="H7" s="707">
        <f>E7+G7</f>
        <v>165725451.49811041</v>
      </c>
      <c r="I7" s="707">
        <f>'October midyear adj'!K22</f>
        <v>2021935.1269904596</v>
      </c>
      <c r="J7" s="707">
        <f>'February midyear adj '!K22</f>
        <v>-455647.35256123036</v>
      </c>
      <c r="K7" s="707">
        <f>I7+J7</f>
        <v>1566287.7744292293</v>
      </c>
      <c r="L7" s="707">
        <f>SUM(H7:J7)</f>
        <v>167291739.27253965</v>
      </c>
      <c r="M7" s="707"/>
      <c r="N7" s="707"/>
      <c r="O7" s="707"/>
      <c r="P7" s="707"/>
      <c r="Q7" s="708" t="s">
        <v>579</v>
      </c>
      <c r="R7" s="709" t="s">
        <v>579</v>
      </c>
      <c r="S7" s="710">
        <f>'[7]Table 5B2_RSD_LA'!$T$7</f>
        <v>-105157</v>
      </c>
      <c r="T7" s="711"/>
      <c r="U7" s="709"/>
      <c r="V7" s="709"/>
      <c r="W7" s="709"/>
      <c r="X7" s="708"/>
      <c r="Y7" s="708"/>
      <c r="Z7" s="708"/>
      <c r="AA7" s="708"/>
      <c r="AB7" s="708"/>
      <c r="AC7" s="708"/>
      <c r="AD7" s="708"/>
      <c r="AE7" s="708"/>
      <c r="AF7" s="708"/>
      <c r="AG7" s="708"/>
      <c r="AH7" s="708"/>
      <c r="AI7" s="708"/>
      <c r="AJ7" s="708" t="s">
        <v>580</v>
      </c>
      <c r="AK7" s="712"/>
      <c r="AL7" s="712"/>
      <c r="AM7" s="712"/>
      <c r="AN7" s="712"/>
      <c r="AO7" s="712"/>
      <c r="AP7" s="712"/>
    </row>
    <row r="8" spans="1:42" s="616" customFormat="1" ht="6" customHeight="1">
      <c r="A8" s="713"/>
      <c r="B8" s="713"/>
      <c r="C8" s="714"/>
      <c r="D8" s="715"/>
      <c r="E8" s="716"/>
      <c r="F8" s="716"/>
      <c r="G8" s="716"/>
      <c r="H8" s="716"/>
      <c r="I8" s="716"/>
      <c r="J8" s="716"/>
      <c r="K8" s="716"/>
      <c r="L8" s="716"/>
      <c r="M8" s="716"/>
      <c r="N8" s="716"/>
      <c r="O8" s="716"/>
      <c r="P8" s="716"/>
      <c r="Q8" s="716"/>
      <c r="R8" s="716"/>
      <c r="S8" s="716"/>
      <c r="T8" s="716"/>
      <c r="U8" s="716"/>
      <c r="V8" s="716"/>
      <c r="W8" s="716"/>
      <c r="X8" s="716"/>
      <c r="Y8" s="716"/>
      <c r="Z8" s="716"/>
      <c r="AA8" s="716"/>
      <c r="AB8" s="716"/>
      <c r="AC8" s="716"/>
      <c r="AD8" s="716"/>
      <c r="AE8" s="716"/>
      <c r="AF8" s="716"/>
      <c r="AG8" s="716"/>
      <c r="AH8" s="716"/>
      <c r="AI8" s="716"/>
      <c r="AJ8" s="716"/>
      <c r="AK8" s="716"/>
      <c r="AL8" s="716"/>
      <c r="AM8" s="716"/>
      <c r="AN8" s="716"/>
      <c r="AO8" s="716"/>
      <c r="AP8" s="716"/>
    </row>
    <row r="9" spans="1:42">
      <c r="A9" s="717"/>
      <c r="C9" s="717"/>
      <c r="D9" s="718"/>
      <c r="E9" s="718"/>
      <c r="F9" s="718"/>
      <c r="G9" s="718"/>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9"/>
      <c r="AL9" s="719"/>
      <c r="AM9" s="719"/>
      <c r="AN9" s="719"/>
      <c r="AO9" s="719"/>
      <c r="AP9" s="719"/>
    </row>
    <row r="10" spans="1:42" ht="30.75" customHeight="1">
      <c r="A10" s="720">
        <v>372001</v>
      </c>
      <c r="B10" s="720" t="s">
        <v>581</v>
      </c>
      <c r="C10" s="721">
        <f>'[4]Table 8   2-1-10 Membership'!U159</f>
        <v>422</v>
      </c>
      <c r="D10" s="705">
        <f>'Table 3 Levels 1&amp;2'!$AL$24</f>
        <v>3266.8023094143459</v>
      </c>
      <c r="E10" s="706">
        <f t="shared" ref="E10:E17" si="1">ROUND(C10*D10,0)</f>
        <v>1378591</v>
      </c>
      <c r="F10" s="706">
        <v>801.07873942625963</v>
      </c>
      <c r="G10" s="706">
        <f t="shared" ref="G10:G17" si="2">F10*C10</f>
        <v>338055.22803788155</v>
      </c>
      <c r="H10" s="707">
        <f t="shared" ref="H10:H17" si="3">E10+G10</f>
        <v>1716646.2280378817</v>
      </c>
      <c r="I10" s="707">
        <f>'October midyear adj'!K191</f>
        <v>-240004.98188159574</v>
      </c>
      <c r="J10" s="707">
        <f>'February midyear adj '!K195</f>
        <v>-75255.799403551209</v>
      </c>
      <c r="K10" s="707">
        <f t="shared" ref="K10:K17" si="4">I10+J10</f>
        <v>-315260.78128514695</v>
      </c>
      <c r="L10" s="707">
        <f t="shared" ref="L10:L17" si="5">SUM(H10:J10)</f>
        <v>1401385.4467527347</v>
      </c>
      <c r="M10" s="707">
        <f>-L10*$M$5</f>
        <v>-24524.24531817286</v>
      </c>
      <c r="N10" s="707">
        <f>-L10*$N$5</f>
        <v>-3503.463616881837</v>
      </c>
      <c r="O10" s="707">
        <f>M10+N10</f>
        <v>-28027.708935054696</v>
      </c>
      <c r="P10" s="707">
        <f>L10+O10</f>
        <v>1373357.73781768</v>
      </c>
      <c r="Q10" s="707">
        <v>0</v>
      </c>
      <c r="R10" s="722">
        <f>SUM(P10:Q10)</f>
        <v>1373357.73781768</v>
      </c>
      <c r="S10" s="723">
        <f>'[7]Table 5B2_RSD_LA'!$T10</f>
        <v>-1116</v>
      </c>
      <c r="T10" s="723">
        <f>R10+S10</f>
        <v>1372241.73781768</v>
      </c>
      <c r="U10" s="722">
        <f>'[8]RSD-LA'!$CT7+139969</f>
        <v>1121320</v>
      </c>
      <c r="V10" s="722">
        <f>T10-U10</f>
        <v>250921.73781768</v>
      </c>
      <c r="W10" s="722">
        <f>V10/4</f>
        <v>62730.434454419999</v>
      </c>
      <c r="X10" s="707">
        <f>'[9]FY2011-12_Final'!$D$24</f>
        <v>5450</v>
      </c>
      <c r="Y10" s="706">
        <f t="shared" ref="Y10:Y15" si="6">X10*C10</f>
        <v>2299900</v>
      </c>
      <c r="Z10" s="724">
        <f>'October midyear adj'!E191</f>
        <v>-59</v>
      </c>
      <c r="AA10" s="706">
        <f t="shared" ref="AA10:AA15" si="7">Z10*X10</f>
        <v>-321550</v>
      </c>
      <c r="AB10" s="724">
        <f>'February midyear adj '!E195</f>
        <v>-37</v>
      </c>
      <c r="AC10" s="706">
        <f t="shared" ref="AC10:AC15" si="8">(X10*0.5)*AB10</f>
        <v>-100825</v>
      </c>
      <c r="AD10" s="706">
        <f>AA10+AC10</f>
        <v>-422375</v>
      </c>
      <c r="AE10" s="706">
        <f>Y10+AA10+AC10</f>
        <v>1877525</v>
      </c>
      <c r="AF10" s="706">
        <f>-AE10*$AF$5</f>
        <v>-32856.6875</v>
      </c>
      <c r="AG10" s="706">
        <f>-AE10*$AG$5</f>
        <v>-4693.8125</v>
      </c>
      <c r="AH10" s="706">
        <f>AF10+AG10</f>
        <v>-37550.5</v>
      </c>
      <c r="AI10" s="706">
        <f>AE10+AH10</f>
        <v>1839974.5</v>
      </c>
      <c r="AJ10" s="707"/>
      <c r="AK10" s="725">
        <f>SUM(AI10:AJ10)</f>
        <v>1839974.5</v>
      </c>
      <c r="AL10" s="725">
        <f>'[8]RSD-LA'!$CU7+187825</f>
        <v>1502600</v>
      </c>
      <c r="AM10" s="725">
        <f>AK10-AL10</f>
        <v>337374.5</v>
      </c>
      <c r="AN10" s="725">
        <f>AM10/4</f>
        <v>84343.625</v>
      </c>
      <c r="AO10" s="725">
        <f t="shared" ref="AO10:AO15" si="9">T10+AK10</f>
        <v>3212216.23781768</v>
      </c>
      <c r="AP10" s="725">
        <f t="shared" ref="AP10:AP15" si="10">W10+AN10</f>
        <v>147074.05945442</v>
      </c>
    </row>
    <row r="11" spans="1:42" ht="30.75" customHeight="1">
      <c r="A11" s="720">
        <v>377001</v>
      </c>
      <c r="B11" s="720" t="s">
        <v>582</v>
      </c>
      <c r="C11" s="721">
        <f>'[4]Table 8   2-1-10 Membership'!U160</f>
        <v>265</v>
      </c>
      <c r="D11" s="705">
        <f>'Table 3 Levels 1&amp;2'!$AL$24</f>
        <v>3266.8023094143459</v>
      </c>
      <c r="E11" s="706">
        <f t="shared" si="1"/>
        <v>865703</v>
      </c>
      <c r="F11" s="706">
        <v>791.44311827956994</v>
      </c>
      <c r="G11" s="706">
        <f t="shared" si="2"/>
        <v>209732.42634408604</v>
      </c>
      <c r="H11" s="707">
        <f t="shared" si="3"/>
        <v>1075435.426344086</v>
      </c>
      <c r="I11" s="707">
        <f>'October midyear adj'!K192</f>
        <v>89281.39940926616</v>
      </c>
      <c r="J11" s="707">
        <f>'February midyear adj '!K196</f>
        <v>-32465.963421551329</v>
      </c>
      <c r="K11" s="707">
        <f t="shared" si="4"/>
        <v>56815.435987714831</v>
      </c>
      <c r="L11" s="707">
        <f t="shared" si="5"/>
        <v>1132250.8623318009</v>
      </c>
      <c r="M11" s="707">
        <f t="shared" ref="M11:M14" si="11">-L11*$M$5</f>
        <v>-19814.390090806515</v>
      </c>
      <c r="N11" s="707">
        <f t="shared" ref="N11:N14" si="12">-L11*$N$5</f>
        <v>-2830.627155829502</v>
      </c>
      <c r="O11" s="707">
        <f t="shared" ref="O11:O17" si="13">M11+N11</f>
        <v>-22645.017246636016</v>
      </c>
      <c r="P11" s="707">
        <f t="shared" ref="P11:P17" si="14">L11+O11</f>
        <v>1109605.8450851648</v>
      </c>
      <c r="Q11" s="707">
        <v>-13491.045283165044</v>
      </c>
      <c r="R11" s="722">
        <f t="shared" ref="R11:R17" si="15">SUM(P11:Q11)</f>
        <v>1096114.7998019997</v>
      </c>
      <c r="S11" s="723">
        <f>'[7]Table 5B2_RSD_LA'!$T11</f>
        <v>-680</v>
      </c>
      <c r="T11" s="723">
        <f t="shared" ref="T11:T17" si="16">R11+S11</f>
        <v>1095434.7998019997</v>
      </c>
      <c r="U11" s="722">
        <f>'[8]RSD-LA'!$CT8+86567</f>
        <v>693488</v>
      </c>
      <c r="V11" s="722">
        <f t="shared" ref="V11:V17" si="17">T11-U11</f>
        <v>401946.7998019997</v>
      </c>
      <c r="W11" s="722">
        <f t="shared" ref="W11:W17" si="18">V11/4</f>
        <v>100486.69995049993</v>
      </c>
      <c r="X11" s="707">
        <f>'[9]FY2011-12_Final'!$D$24</f>
        <v>5450</v>
      </c>
      <c r="Y11" s="706">
        <f t="shared" si="6"/>
        <v>1444250</v>
      </c>
      <c r="Z11" s="724">
        <f>'October midyear adj'!E192</f>
        <v>22</v>
      </c>
      <c r="AA11" s="706">
        <f t="shared" si="7"/>
        <v>119900</v>
      </c>
      <c r="AB11" s="724">
        <f>'February midyear adj '!E196</f>
        <v>-16</v>
      </c>
      <c r="AC11" s="706">
        <f t="shared" si="8"/>
        <v>-43600</v>
      </c>
      <c r="AD11" s="706">
        <f t="shared" ref="AD11:AD17" si="19">AA11+AC11</f>
        <v>76300</v>
      </c>
      <c r="AE11" s="706">
        <f t="shared" ref="AE11:AE17" si="20">Y11+AA11+AC11</f>
        <v>1520550</v>
      </c>
      <c r="AF11" s="706">
        <f t="shared" ref="AF11:AF17" si="21">-AE11*$AF$5</f>
        <v>-26609.625000000004</v>
      </c>
      <c r="AG11" s="706">
        <f t="shared" ref="AG11:AG14" si="22">-AE11*$AG$5</f>
        <v>-3801.375</v>
      </c>
      <c r="AH11" s="706">
        <f t="shared" ref="AH11:AH17" si="23">AF11+AG11</f>
        <v>-30411.000000000004</v>
      </c>
      <c r="AI11" s="706">
        <f t="shared" ref="AI11:AI17" si="24">AE11+AH11</f>
        <v>1490139</v>
      </c>
      <c r="AJ11" s="707">
        <v>-10926</v>
      </c>
      <c r="AK11" s="725">
        <f t="shared" ref="AK11:AK17" si="25">SUM(AI11:AJ11)</f>
        <v>1479213</v>
      </c>
      <c r="AL11" s="725">
        <f>'[8]RSD-LA'!$CU8+117036</f>
        <v>936295</v>
      </c>
      <c r="AM11" s="725">
        <f t="shared" ref="AM11:AM17" si="26">AK11-AL11</f>
        <v>542918</v>
      </c>
      <c r="AN11" s="725">
        <f t="shared" ref="AN11:AN17" si="27">AM11/4</f>
        <v>135729.5</v>
      </c>
      <c r="AO11" s="725">
        <f t="shared" si="9"/>
        <v>2574647.7998019997</v>
      </c>
      <c r="AP11" s="725">
        <f t="shared" si="10"/>
        <v>236216.19995049993</v>
      </c>
    </row>
    <row r="12" spans="1:42" ht="30.75" customHeight="1">
      <c r="A12" s="720">
        <v>377002</v>
      </c>
      <c r="B12" s="720" t="s">
        <v>583</v>
      </c>
      <c r="C12" s="721">
        <f>'[4]Table 8   2-1-10 Membership'!U161</f>
        <v>264</v>
      </c>
      <c r="D12" s="705">
        <f>'Table 3 Levels 1&amp;2'!$AL$24</f>
        <v>3266.8023094143459</v>
      </c>
      <c r="E12" s="706">
        <f t="shared" si="1"/>
        <v>862436</v>
      </c>
      <c r="F12" s="706">
        <v>802.4401357466063</v>
      </c>
      <c r="G12" s="706">
        <f t="shared" si="2"/>
        <v>211844.19583710405</v>
      </c>
      <c r="H12" s="707">
        <f t="shared" si="3"/>
        <v>1074280.195837104</v>
      </c>
      <c r="I12" s="707">
        <f>'October midyear adj'!K193</f>
        <v>-8138.4848903219045</v>
      </c>
      <c r="J12" s="707">
        <f>'February midyear adj '!K197</f>
        <v>-20346.21222580476</v>
      </c>
      <c r="K12" s="707">
        <f t="shared" si="4"/>
        <v>-28484.697116126663</v>
      </c>
      <c r="L12" s="707">
        <f t="shared" si="5"/>
        <v>1045795.4987209772</v>
      </c>
      <c r="M12" s="707">
        <f t="shared" si="11"/>
        <v>-18301.421227617102</v>
      </c>
      <c r="N12" s="707">
        <f t="shared" si="12"/>
        <v>-2614.4887468024431</v>
      </c>
      <c r="O12" s="707">
        <f t="shared" si="13"/>
        <v>-20915.909974419545</v>
      </c>
      <c r="P12" s="707">
        <f t="shared" si="14"/>
        <v>1024879.5887465577</v>
      </c>
      <c r="Q12" s="707">
        <v>-10726.887882805553</v>
      </c>
      <c r="R12" s="722">
        <f t="shared" si="15"/>
        <v>1014152.7008637522</v>
      </c>
      <c r="S12" s="723">
        <f>'[7]Table 5B2_RSD_LA'!$T12</f>
        <v>-680</v>
      </c>
      <c r="T12" s="723">
        <f t="shared" si="16"/>
        <v>1013472.7008637522</v>
      </c>
      <c r="U12" s="722">
        <f>'[8]RSD-LA'!$CT9+86703</f>
        <v>694576</v>
      </c>
      <c r="V12" s="722">
        <f t="shared" si="17"/>
        <v>318896.70086375216</v>
      </c>
      <c r="W12" s="722">
        <f t="shared" si="18"/>
        <v>79724.175215938041</v>
      </c>
      <c r="X12" s="707">
        <f>'[9]FY2011-12_Final'!$D$24</f>
        <v>5450</v>
      </c>
      <c r="Y12" s="706">
        <f t="shared" si="6"/>
        <v>1438800</v>
      </c>
      <c r="Z12" s="724">
        <f>'October midyear adj'!E193</f>
        <v>-2</v>
      </c>
      <c r="AA12" s="706">
        <f t="shared" si="7"/>
        <v>-10900</v>
      </c>
      <c r="AB12" s="724">
        <f>'February midyear adj '!E197</f>
        <v>-10</v>
      </c>
      <c r="AC12" s="706">
        <f t="shared" si="8"/>
        <v>-27250</v>
      </c>
      <c r="AD12" s="706">
        <f t="shared" si="19"/>
        <v>-38150</v>
      </c>
      <c r="AE12" s="706">
        <f t="shared" si="20"/>
        <v>1400650</v>
      </c>
      <c r="AF12" s="706">
        <f t="shared" si="21"/>
        <v>-24511.375000000004</v>
      </c>
      <c r="AG12" s="706">
        <f t="shared" si="22"/>
        <v>-3501.625</v>
      </c>
      <c r="AH12" s="706">
        <f t="shared" si="23"/>
        <v>-28013.000000000004</v>
      </c>
      <c r="AI12" s="706">
        <f t="shared" si="24"/>
        <v>1372637</v>
      </c>
      <c r="AJ12" s="707">
        <v>-10926</v>
      </c>
      <c r="AK12" s="725">
        <f t="shared" si="25"/>
        <v>1361711</v>
      </c>
      <c r="AL12" s="725">
        <f>'[8]RSD-LA'!$CU9+116592</f>
        <v>932731</v>
      </c>
      <c r="AM12" s="725">
        <f t="shared" si="26"/>
        <v>428980</v>
      </c>
      <c r="AN12" s="725">
        <f t="shared" si="27"/>
        <v>107245</v>
      </c>
      <c r="AO12" s="725">
        <f t="shared" si="9"/>
        <v>2375183.700863752</v>
      </c>
      <c r="AP12" s="725">
        <f t="shared" si="10"/>
        <v>186969.17521593804</v>
      </c>
    </row>
    <row r="13" spans="1:42" ht="30.75" customHeight="1">
      <c r="A13" s="720">
        <v>377004</v>
      </c>
      <c r="B13" s="720" t="s">
        <v>584</v>
      </c>
      <c r="C13" s="721">
        <f>'[4]Table 8   2-1-10 Membership'!U162</f>
        <v>331</v>
      </c>
      <c r="D13" s="705">
        <f>'Table 3 Levels 1&amp;2'!$AL$24</f>
        <v>3266.8023094143459</v>
      </c>
      <c r="E13" s="706">
        <f t="shared" si="1"/>
        <v>1081312</v>
      </c>
      <c r="F13" s="706">
        <v>801.07873942625963</v>
      </c>
      <c r="G13" s="706">
        <f t="shared" si="2"/>
        <v>265157.06275009195</v>
      </c>
      <c r="H13" s="707">
        <f t="shared" si="3"/>
        <v>1346469.062750092</v>
      </c>
      <c r="I13" s="707">
        <f>'October midyear adj'!K194</f>
        <v>345769.88915145147</v>
      </c>
      <c r="J13" s="707">
        <f>'February midyear adj '!K198</f>
        <v>-28475.16734188424</v>
      </c>
      <c r="K13" s="707">
        <f t="shared" si="4"/>
        <v>317294.72180956724</v>
      </c>
      <c r="L13" s="707">
        <f t="shared" si="5"/>
        <v>1663763.7845596592</v>
      </c>
      <c r="M13" s="707">
        <f t="shared" si="11"/>
        <v>-29115.866229794039</v>
      </c>
      <c r="N13" s="707">
        <f t="shared" si="12"/>
        <v>-4159.4094613991483</v>
      </c>
      <c r="O13" s="707">
        <f t="shared" si="13"/>
        <v>-33275.275691193187</v>
      </c>
      <c r="P13" s="707">
        <f t="shared" si="14"/>
        <v>1630488.5088684659</v>
      </c>
      <c r="Q13" s="707">
        <v>0</v>
      </c>
      <c r="R13" s="722">
        <f t="shared" si="15"/>
        <v>1630488.5088684659</v>
      </c>
      <c r="S13" s="723">
        <f>'[7]Table 5B2_RSD_LA'!$T13</f>
        <v>-868</v>
      </c>
      <c r="T13" s="723">
        <f t="shared" si="16"/>
        <v>1629620.5088684659</v>
      </c>
      <c r="U13" s="722">
        <f>'[8]RSD-LA'!$CT10+109788</f>
        <v>879522</v>
      </c>
      <c r="V13" s="722">
        <f t="shared" si="17"/>
        <v>750098.5088684659</v>
      </c>
      <c r="W13" s="722">
        <f t="shared" si="18"/>
        <v>187524.62721711647</v>
      </c>
      <c r="X13" s="707">
        <f>'[9]FY2011-12_Final'!$D$24</f>
        <v>5450</v>
      </c>
      <c r="Y13" s="706">
        <f t="shared" si="6"/>
        <v>1803950</v>
      </c>
      <c r="Z13" s="724">
        <f>'October midyear adj'!E194</f>
        <v>85</v>
      </c>
      <c r="AA13" s="706">
        <f t="shared" si="7"/>
        <v>463250</v>
      </c>
      <c r="AB13" s="724">
        <f>'February midyear adj '!E198</f>
        <v>-14</v>
      </c>
      <c r="AC13" s="706">
        <f t="shared" si="8"/>
        <v>-38150</v>
      </c>
      <c r="AD13" s="706">
        <f t="shared" si="19"/>
        <v>425100</v>
      </c>
      <c r="AE13" s="706">
        <f t="shared" si="20"/>
        <v>2229050</v>
      </c>
      <c r="AF13" s="706">
        <f t="shared" si="21"/>
        <v>-39008.375000000007</v>
      </c>
      <c r="AG13" s="706">
        <f t="shared" si="22"/>
        <v>-5572.625</v>
      </c>
      <c r="AH13" s="706">
        <f t="shared" si="23"/>
        <v>-44581.000000000007</v>
      </c>
      <c r="AI13" s="706">
        <f t="shared" si="24"/>
        <v>2184469</v>
      </c>
      <c r="AJ13" s="707"/>
      <c r="AK13" s="725">
        <f t="shared" si="25"/>
        <v>2184469</v>
      </c>
      <c r="AL13" s="725">
        <f>'[8]RSD-LA'!$CU10+147322</f>
        <v>1178583</v>
      </c>
      <c r="AM13" s="725">
        <f t="shared" si="26"/>
        <v>1005886</v>
      </c>
      <c r="AN13" s="725">
        <f t="shared" si="27"/>
        <v>251471.5</v>
      </c>
      <c r="AO13" s="725">
        <f t="shared" si="9"/>
        <v>3814089.5088684661</v>
      </c>
      <c r="AP13" s="725">
        <f t="shared" si="10"/>
        <v>438996.12721711647</v>
      </c>
    </row>
    <row r="14" spans="1:42" ht="30.75" customHeight="1">
      <c r="A14" s="720">
        <v>377005</v>
      </c>
      <c r="B14" s="720" t="s">
        <v>585</v>
      </c>
      <c r="C14" s="721">
        <f>'[4]Table 8   2-1-10 Membership'!U163</f>
        <v>356</v>
      </c>
      <c r="D14" s="705">
        <f>'Table 3 Levels 1&amp;2'!$AL$24</f>
        <v>3266.8023094143459</v>
      </c>
      <c r="E14" s="706">
        <f t="shared" si="1"/>
        <v>1162982</v>
      </c>
      <c r="F14" s="706">
        <v>801.07873942625963</v>
      </c>
      <c r="G14" s="706">
        <f t="shared" si="2"/>
        <v>285184.03123574844</v>
      </c>
      <c r="H14" s="707">
        <f t="shared" si="3"/>
        <v>1448166.0312357484</v>
      </c>
      <c r="I14" s="707">
        <f>'October midyear adj'!K195</f>
        <v>195258.29034434908</v>
      </c>
      <c r="J14" s="707">
        <f>'February midyear adj '!K199</f>
        <v>-26441.226817463936</v>
      </c>
      <c r="K14" s="707">
        <f t="shared" si="4"/>
        <v>168817.06352688515</v>
      </c>
      <c r="L14" s="707">
        <f t="shared" si="5"/>
        <v>1616983.0947626336</v>
      </c>
      <c r="M14" s="707">
        <f t="shared" si="11"/>
        <v>-28297.204158346089</v>
      </c>
      <c r="N14" s="707">
        <f t="shared" si="12"/>
        <v>-4042.4577369065842</v>
      </c>
      <c r="O14" s="707">
        <f t="shared" si="13"/>
        <v>-32339.661895252673</v>
      </c>
      <c r="P14" s="707">
        <f t="shared" si="14"/>
        <v>1584643.4328673808</v>
      </c>
      <c r="Q14" s="707">
        <v>-3969.006827435689</v>
      </c>
      <c r="R14" s="722">
        <f t="shared" si="15"/>
        <v>1580674.4260399451</v>
      </c>
      <c r="S14" s="723">
        <f>'[7]Table 5B2_RSD_LA'!$T14</f>
        <v>-930</v>
      </c>
      <c r="T14" s="723">
        <f t="shared" si="16"/>
        <v>1579744.4260399451</v>
      </c>
      <c r="U14" s="722">
        <f>'[8]RSD-LA'!$CT11+117750</f>
        <v>943302</v>
      </c>
      <c r="V14" s="722">
        <f t="shared" si="17"/>
        <v>636442.4260399451</v>
      </c>
      <c r="W14" s="722">
        <f t="shared" si="18"/>
        <v>159110.60650998628</v>
      </c>
      <c r="X14" s="707">
        <f>'[9]FY2011-12_Final'!$D$24</f>
        <v>5450</v>
      </c>
      <c r="Y14" s="706">
        <f t="shared" si="6"/>
        <v>1940200</v>
      </c>
      <c r="Z14" s="724">
        <f>'October midyear adj'!E195</f>
        <v>48</v>
      </c>
      <c r="AA14" s="706">
        <f t="shared" si="7"/>
        <v>261600</v>
      </c>
      <c r="AB14" s="724">
        <f>'February midyear adj '!E199</f>
        <v>-13</v>
      </c>
      <c r="AC14" s="706">
        <f t="shared" si="8"/>
        <v>-35425</v>
      </c>
      <c r="AD14" s="706">
        <f t="shared" si="19"/>
        <v>226175</v>
      </c>
      <c r="AE14" s="706">
        <f t="shared" si="20"/>
        <v>2166375</v>
      </c>
      <c r="AF14" s="706">
        <f t="shared" si="21"/>
        <v>-37911.5625</v>
      </c>
      <c r="AG14" s="706">
        <f t="shared" si="22"/>
        <v>-5415.9375</v>
      </c>
      <c r="AH14" s="706">
        <f t="shared" si="23"/>
        <v>-43327.5</v>
      </c>
      <c r="AI14" s="706">
        <f t="shared" si="24"/>
        <v>2123047.5</v>
      </c>
      <c r="AJ14" s="707">
        <v>-5463</v>
      </c>
      <c r="AK14" s="725">
        <f t="shared" si="25"/>
        <v>2117584.5</v>
      </c>
      <c r="AL14" s="725">
        <f>'[8]RSD-LA'!$CU11+157994</f>
        <v>1263957</v>
      </c>
      <c r="AM14" s="725">
        <f t="shared" si="26"/>
        <v>853627.5</v>
      </c>
      <c r="AN14" s="725">
        <f t="shared" si="27"/>
        <v>213406.875</v>
      </c>
      <c r="AO14" s="725">
        <f t="shared" si="9"/>
        <v>3697328.9260399453</v>
      </c>
      <c r="AP14" s="725">
        <f t="shared" si="10"/>
        <v>372517.48150998628</v>
      </c>
    </row>
    <row r="15" spans="1:42" ht="30.75" customHeight="1">
      <c r="A15" s="720"/>
      <c r="B15" s="726" t="s">
        <v>586</v>
      </c>
      <c r="C15" s="727">
        <f>'[4]Table 8   2-1-10 Membership'!U164+150</f>
        <v>281</v>
      </c>
      <c r="D15" s="705">
        <f>'Table 3 Levels 1&amp;2'!$AL$24</f>
        <v>3266.8023094143459</v>
      </c>
      <c r="E15" s="706">
        <f t="shared" si="1"/>
        <v>917971</v>
      </c>
      <c r="F15" s="706">
        <v>766.62630000000001</v>
      </c>
      <c r="G15" s="706">
        <f>F15*C15</f>
        <v>215421.9903</v>
      </c>
      <c r="H15" s="707">
        <f t="shared" si="3"/>
        <v>1133392.9902999999</v>
      </c>
      <c r="I15" s="707">
        <f>'October midyear adj'!K135</f>
        <v>-84702.000797701257</v>
      </c>
      <c r="J15" s="707">
        <f>'February midyear adj '!K139</f>
        <v>-14117.00013295021</v>
      </c>
      <c r="K15" s="707">
        <f t="shared" si="4"/>
        <v>-98819.000930651469</v>
      </c>
      <c r="L15" s="707">
        <f t="shared" si="5"/>
        <v>1034573.9893693484</v>
      </c>
      <c r="M15" s="707" t="s">
        <v>580</v>
      </c>
      <c r="N15" s="707" t="s">
        <v>580</v>
      </c>
      <c r="O15" s="707">
        <v>0</v>
      </c>
      <c r="P15" s="707">
        <f t="shared" si="14"/>
        <v>1034573.9893693484</v>
      </c>
      <c r="Q15" s="707">
        <f>1594.08333600677-24914</f>
        <v>-23319.91666399323</v>
      </c>
      <c r="R15" s="722">
        <f t="shared" si="15"/>
        <v>1011254.0727053551</v>
      </c>
      <c r="S15" s="723">
        <f>'[7]Table 5B2_RSD_LA'!$T15-400</f>
        <v>-763.21015870730662</v>
      </c>
      <c r="T15" s="723">
        <f t="shared" si="16"/>
        <v>1010490.8625466478</v>
      </c>
      <c r="U15" s="722">
        <f>'[8]RSD-LA'!$CT$19+44085+386712</f>
        <v>739896</v>
      </c>
      <c r="V15" s="722">
        <f t="shared" si="17"/>
        <v>270594.86254664778</v>
      </c>
      <c r="W15" s="722">
        <f t="shared" si="18"/>
        <v>67648.715636661946</v>
      </c>
      <c r="X15" s="707">
        <f>'[9]FY2011-12_Final'!$D$24</f>
        <v>5450</v>
      </c>
      <c r="Y15" s="706">
        <f t="shared" si="6"/>
        <v>1531450</v>
      </c>
      <c r="Z15" s="724">
        <f>'October midyear adj'!E135</f>
        <v>-21</v>
      </c>
      <c r="AA15" s="706">
        <f t="shared" si="7"/>
        <v>-114450</v>
      </c>
      <c r="AB15" s="724">
        <f>'February midyear adj '!E139</f>
        <v>-7</v>
      </c>
      <c r="AC15" s="706">
        <f t="shared" si="8"/>
        <v>-19075</v>
      </c>
      <c r="AD15" s="706">
        <f t="shared" si="19"/>
        <v>-133525</v>
      </c>
      <c r="AE15" s="706">
        <f t="shared" si="20"/>
        <v>1397925</v>
      </c>
      <c r="AF15" s="706" t="s">
        <v>580</v>
      </c>
      <c r="AG15" s="706" t="s">
        <v>580</v>
      </c>
      <c r="AH15" s="706">
        <v>0</v>
      </c>
      <c r="AI15" s="706">
        <f t="shared" si="24"/>
        <v>1397925</v>
      </c>
      <c r="AJ15" s="707">
        <v>-18799.14</v>
      </c>
      <c r="AK15" s="725">
        <f t="shared" si="25"/>
        <v>1379125.86</v>
      </c>
      <c r="AL15" s="725">
        <f>'[8]RSD-LA'!$CU$19+59688+530928</f>
        <v>1008432</v>
      </c>
      <c r="AM15" s="725">
        <f t="shared" si="26"/>
        <v>370693.8600000001</v>
      </c>
      <c r="AN15" s="725">
        <f t="shared" si="27"/>
        <v>92673.465000000026</v>
      </c>
      <c r="AO15" s="725">
        <f t="shared" si="9"/>
        <v>2389616.7225466478</v>
      </c>
      <c r="AP15" s="725">
        <f t="shared" si="10"/>
        <v>160322.18063666197</v>
      </c>
    </row>
    <row r="16" spans="1:42" ht="31.5" hidden="1" customHeight="1">
      <c r="A16" s="720"/>
      <c r="B16" s="726" t="s">
        <v>587</v>
      </c>
      <c r="C16" s="727"/>
      <c r="D16" s="705"/>
      <c r="E16" s="706"/>
      <c r="F16" s="706"/>
      <c r="G16" s="706"/>
      <c r="H16" s="707"/>
      <c r="I16" s="707"/>
      <c r="J16" s="707"/>
      <c r="K16" s="707"/>
      <c r="L16" s="707">
        <f t="shared" si="5"/>
        <v>0</v>
      </c>
      <c r="M16" s="707"/>
      <c r="N16" s="707"/>
      <c r="O16" s="707"/>
      <c r="P16" s="707"/>
      <c r="Q16" s="707"/>
      <c r="R16" s="722"/>
      <c r="S16" s="723"/>
      <c r="T16" s="723"/>
      <c r="U16" s="722"/>
      <c r="V16" s="722"/>
      <c r="W16" s="722"/>
      <c r="X16" s="707"/>
      <c r="Y16" s="706"/>
      <c r="Z16" s="724"/>
      <c r="AA16" s="706"/>
      <c r="AB16" s="724"/>
      <c r="AC16" s="706"/>
      <c r="AD16" s="706"/>
      <c r="AE16" s="706">
        <f t="shared" si="20"/>
        <v>0</v>
      </c>
      <c r="AF16" s="706"/>
      <c r="AG16" s="706"/>
      <c r="AH16" s="706"/>
      <c r="AI16" s="706"/>
      <c r="AJ16" s="706"/>
      <c r="AK16" s="725"/>
      <c r="AL16" s="725"/>
      <c r="AM16" s="725"/>
      <c r="AN16" s="725"/>
      <c r="AO16" s="725"/>
      <c r="AP16" s="725"/>
    </row>
    <row r="17" spans="1:42" ht="30.75" customHeight="1">
      <c r="A17" s="720">
        <v>389002</v>
      </c>
      <c r="B17" s="720" t="s">
        <v>588</v>
      </c>
      <c r="C17" s="727">
        <f>'[4]Table 8   2-1-10 Membership'!U166</f>
        <v>399</v>
      </c>
      <c r="D17" s="705">
        <f>'Table 3 Levels 1&amp;2'!$AL$24</f>
        <v>3266.8023094143459</v>
      </c>
      <c r="E17" s="706">
        <f t="shared" si="1"/>
        <v>1303454</v>
      </c>
      <c r="F17" s="706">
        <v>801.07873942625963</v>
      </c>
      <c r="G17" s="706">
        <f t="shared" si="2"/>
        <v>319630.41703107761</v>
      </c>
      <c r="H17" s="707">
        <f t="shared" si="3"/>
        <v>1623084.4170310777</v>
      </c>
      <c r="I17" s="707">
        <f>'October midyear adj'!K196</f>
        <v>325430.48390724848</v>
      </c>
      <c r="J17" s="707">
        <f>'February midyear adj '!K200</f>
        <v>-8135.7620976812113</v>
      </c>
      <c r="K17" s="707">
        <f t="shared" si="4"/>
        <v>317294.72180956724</v>
      </c>
      <c r="L17" s="707">
        <f t="shared" si="5"/>
        <v>1940379.1388406449</v>
      </c>
      <c r="M17" s="707">
        <f>-L17*$M$5</f>
        <v>-33956.63492971129</v>
      </c>
      <c r="N17" s="707">
        <f>-L17*$N$5</f>
        <v>-4850.9478471016118</v>
      </c>
      <c r="O17" s="707">
        <f t="shared" si="13"/>
        <v>-38807.582776812902</v>
      </c>
      <c r="P17" s="707">
        <f t="shared" si="14"/>
        <v>1901571.556063832</v>
      </c>
      <c r="Q17" s="707">
        <v>-2786.1514352935542</v>
      </c>
      <c r="R17" s="722">
        <f t="shared" si="15"/>
        <v>1898785.4046285385</v>
      </c>
      <c r="S17" s="723">
        <f>'[7]Table 5B2_RSD_LA'!$T17</f>
        <v>-1088</v>
      </c>
      <c r="T17" s="723">
        <f t="shared" si="16"/>
        <v>1897697.4046285385</v>
      </c>
      <c r="U17" s="722">
        <f>'[8]RSD-LA'!$CT$12+159609</f>
        <v>1275208</v>
      </c>
      <c r="V17" s="722">
        <f t="shared" si="17"/>
        <v>622489.40462853853</v>
      </c>
      <c r="W17" s="722">
        <f t="shared" si="18"/>
        <v>155622.35115713463</v>
      </c>
      <c r="X17" s="707">
        <f>'[9]FY2011-12_Final'!$D$24</f>
        <v>5450</v>
      </c>
      <c r="Y17" s="706">
        <f>X17*C17</f>
        <v>2174550</v>
      </c>
      <c r="Z17" s="724">
        <f>'October midyear adj'!E196</f>
        <v>80</v>
      </c>
      <c r="AA17" s="706">
        <f>Z17*X17</f>
        <v>436000</v>
      </c>
      <c r="AB17" s="724">
        <f>'February midyear adj '!E200</f>
        <v>-4</v>
      </c>
      <c r="AC17" s="706">
        <f>(X17*0.5)*AB17</f>
        <v>-10900</v>
      </c>
      <c r="AD17" s="706">
        <f t="shared" si="19"/>
        <v>425100</v>
      </c>
      <c r="AE17" s="706">
        <f t="shared" si="20"/>
        <v>2599650</v>
      </c>
      <c r="AF17" s="706">
        <f t="shared" si="21"/>
        <v>-45493.875000000007</v>
      </c>
      <c r="AG17" s="706">
        <f>-AE17*$AG$5</f>
        <v>-6499.125</v>
      </c>
      <c r="AH17" s="706">
        <f t="shared" si="23"/>
        <v>-51993.000000000007</v>
      </c>
      <c r="AI17" s="706">
        <f t="shared" si="24"/>
        <v>2547657</v>
      </c>
      <c r="AJ17" s="706"/>
      <c r="AK17" s="725">
        <f t="shared" si="25"/>
        <v>2547657</v>
      </c>
      <c r="AL17" s="725">
        <f>'[8]RSD-LA'!$CU$12+214441</f>
        <v>1711255</v>
      </c>
      <c r="AM17" s="725">
        <f t="shared" si="26"/>
        <v>836402</v>
      </c>
      <c r="AN17" s="725">
        <f t="shared" si="27"/>
        <v>209100.5</v>
      </c>
      <c r="AO17" s="725">
        <f>T17+AK17</f>
        <v>4445354.4046285385</v>
      </c>
      <c r="AP17" s="725">
        <f>W17+AN17</f>
        <v>364722.85115713463</v>
      </c>
    </row>
    <row r="18" spans="1:42" s="532" customFormat="1" ht="32.25" customHeight="1">
      <c r="A18" s="728"/>
      <c r="B18" s="728" t="s">
        <v>589</v>
      </c>
      <c r="C18" s="729">
        <f>SUM(C10:C17)</f>
        <v>2318</v>
      </c>
      <c r="D18" s="730"/>
      <c r="E18" s="731">
        <f>SUM(E10:E17)</f>
        <v>7572449</v>
      </c>
      <c r="F18" s="731"/>
      <c r="G18" s="731">
        <f t="shared" ref="G18:W18" si="28">SUM(G10:G17)</f>
        <v>1845025.3515359897</v>
      </c>
      <c r="H18" s="732">
        <f t="shared" si="28"/>
        <v>9417474.351535989</v>
      </c>
      <c r="I18" s="732">
        <f t="shared" si="28"/>
        <v>622894.59524269635</v>
      </c>
      <c r="J18" s="732">
        <f t="shared" si="28"/>
        <v>-205237.13144088688</v>
      </c>
      <c r="K18" s="732">
        <f t="shared" si="28"/>
        <v>417657.46380180935</v>
      </c>
      <c r="L18" s="732">
        <f t="shared" si="28"/>
        <v>9835131.8153377995</v>
      </c>
      <c r="M18" s="732">
        <f t="shared" si="28"/>
        <v>-154009.76195444789</v>
      </c>
      <c r="N18" s="732">
        <f t="shared" si="28"/>
        <v>-22001.394564921127</v>
      </c>
      <c r="O18" s="732">
        <f t="shared" si="28"/>
        <v>-176011.15651936902</v>
      </c>
      <c r="P18" s="732">
        <f t="shared" si="28"/>
        <v>9659120.6588184312</v>
      </c>
      <c r="Q18" s="731">
        <f t="shared" si="28"/>
        <v>-54293.008092693075</v>
      </c>
      <c r="R18" s="731">
        <f t="shared" si="28"/>
        <v>9604827.6507257372</v>
      </c>
      <c r="S18" s="731">
        <f t="shared" si="28"/>
        <v>-6125.2101587073066</v>
      </c>
      <c r="T18" s="731">
        <f t="shared" si="28"/>
        <v>9598702.4405670296</v>
      </c>
      <c r="U18" s="731">
        <f t="shared" si="28"/>
        <v>6347312</v>
      </c>
      <c r="V18" s="731">
        <f t="shared" si="28"/>
        <v>3251390.4405670296</v>
      </c>
      <c r="W18" s="731">
        <f t="shared" si="28"/>
        <v>812847.61014175741</v>
      </c>
      <c r="X18" s="731"/>
      <c r="Y18" s="731">
        <f t="shared" ref="Y18:AD18" si="29">SUM(Y10:Y17)</f>
        <v>12633100</v>
      </c>
      <c r="Z18" s="733">
        <f t="shared" si="29"/>
        <v>153</v>
      </c>
      <c r="AA18" s="731">
        <f t="shared" si="29"/>
        <v>833850</v>
      </c>
      <c r="AB18" s="733">
        <f t="shared" si="29"/>
        <v>-101</v>
      </c>
      <c r="AC18" s="731">
        <f t="shared" si="29"/>
        <v>-275225</v>
      </c>
      <c r="AD18" s="731">
        <f t="shared" si="29"/>
        <v>558625</v>
      </c>
      <c r="AE18" s="731">
        <f>SUM(AE10:AE17)</f>
        <v>13191725</v>
      </c>
      <c r="AF18" s="731">
        <f t="shared" ref="AF18:AP18" si="30">SUM(AF10:AF17)</f>
        <v>-206391.5</v>
      </c>
      <c r="AG18" s="731">
        <f t="shared" si="30"/>
        <v>-29484.5</v>
      </c>
      <c r="AH18" s="731">
        <f t="shared" si="30"/>
        <v>-235876</v>
      </c>
      <c r="AI18" s="731">
        <f t="shared" si="30"/>
        <v>12955849</v>
      </c>
      <c r="AJ18" s="731">
        <f t="shared" si="30"/>
        <v>-46114.14</v>
      </c>
      <c r="AK18" s="734">
        <f t="shared" si="30"/>
        <v>12909734.859999999</v>
      </c>
      <c r="AL18" s="734">
        <f t="shared" si="30"/>
        <v>8533853</v>
      </c>
      <c r="AM18" s="734">
        <f t="shared" si="30"/>
        <v>4375881.8600000003</v>
      </c>
      <c r="AN18" s="734">
        <f t="shared" si="30"/>
        <v>1093970.4650000001</v>
      </c>
      <c r="AO18" s="734">
        <f t="shared" si="30"/>
        <v>22508437.300567031</v>
      </c>
      <c r="AP18" s="734">
        <f t="shared" si="30"/>
        <v>1906818.0751417575</v>
      </c>
    </row>
    <row r="19" spans="1:42" s="532" customFormat="1" ht="36" customHeight="1">
      <c r="A19" s="735"/>
      <c r="B19" s="735" t="s">
        <v>590</v>
      </c>
      <c r="C19" s="736">
        <f>C18+C7</f>
        <v>43054</v>
      </c>
      <c r="D19" s="737"/>
      <c r="E19" s="737">
        <f>E18+E7</f>
        <v>140648908</v>
      </c>
      <c r="F19" s="737"/>
      <c r="G19" s="737">
        <f>G18+G7</f>
        <v>34494017.849646404</v>
      </c>
      <c r="H19" s="737">
        <f>H18+H7</f>
        <v>175142925.84964639</v>
      </c>
      <c r="I19" s="738">
        <f t="shared" ref="I19:L19" si="31">I7+I18</f>
        <v>2644829.7222331557</v>
      </c>
      <c r="J19" s="737">
        <f t="shared" si="31"/>
        <v>-660884.4840021173</v>
      </c>
      <c r="K19" s="738">
        <f t="shared" si="31"/>
        <v>1983945.2382310387</v>
      </c>
      <c r="L19" s="738">
        <f t="shared" si="31"/>
        <v>177126871.08787745</v>
      </c>
      <c r="M19" s="737"/>
      <c r="N19" s="737"/>
      <c r="O19" s="737"/>
      <c r="P19" s="737"/>
      <c r="Q19" s="737"/>
      <c r="R19" s="737"/>
      <c r="S19" s="737">
        <f>S7+S18</f>
        <v>-111282.21015870731</v>
      </c>
      <c r="T19" s="737"/>
      <c r="U19" s="737"/>
      <c r="V19" s="737"/>
      <c r="W19" s="737"/>
      <c r="X19" s="737"/>
      <c r="Y19" s="737"/>
      <c r="Z19" s="737"/>
      <c r="AA19" s="737"/>
      <c r="AB19" s="737"/>
      <c r="AC19" s="737"/>
      <c r="AD19" s="737"/>
      <c r="AE19" s="737"/>
      <c r="AF19" s="737"/>
      <c r="AG19" s="737"/>
      <c r="AH19" s="737"/>
      <c r="AI19" s="737"/>
      <c r="AJ19" s="737"/>
      <c r="AK19" s="737"/>
      <c r="AL19" s="737"/>
      <c r="AM19" s="737"/>
      <c r="AN19" s="737"/>
      <c r="AO19" s="737"/>
      <c r="AP19" s="737"/>
    </row>
    <row r="20" spans="1:42" ht="6.75" customHeight="1">
      <c r="A20" s="739"/>
      <c r="B20" s="739"/>
      <c r="C20" s="740"/>
      <c r="D20" s="741"/>
      <c r="E20" s="741"/>
      <c r="F20" s="741"/>
      <c r="G20" s="741"/>
      <c r="H20" s="741"/>
      <c r="I20" s="740"/>
      <c r="J20" s="740"/>
      <c r="K20" s="740"/>
      <c r="L20" s="740"/>
      <c r="M20" s="741"/>
      <c r="N20" s="741"/>
      <c r="O20" s="741"/>
      <c r="P20" s="741"/>
      <c r="Q20" s="741"/>
      <c r="R20" s="741"/>
      <c r="S20" s="741"/>
      <c r="T20" s="741"/>
      <c r="U20" s="741"/>
      <c r="V20" s="741"/>
      <c r="W20" s="741"/>
      <c r="X20" s="741"/>
      <c r="Y20" s="741"/>
      <c r="Z20" s="741"/>
      <c r="AA20" s="741"/>
      <c r="AB20" s="741"/>
      <c r="AC20" s="741"/>
      <c r="AD20" s="741"/>
      <c r="AE20" s="741"/>
      <c r="AF20" s="741"/>
      <c r="AG20" s="741"/>
      <c r="AH20" s="741"/>
      <c r="AI20" s="741"/>
      <c r="AJ20" s="741"/>
      <c r="AK20" s="741"/>
      <c r="AL20" s="741"/>
      <c r="AM20" s="741"/>
      <c r="AN20" s="741"/>
      <c r="AO20" s="741"/>
      <c r="AP20" s="741"/>
    </row>
    <row r="21" spans="1:42" s="441" customFormat="1" ht="40.5" customHeight="1">
      <c r="A21" s="742"/>
      <c r="B21" s="742" t="s">
        <v>591</v>
      </c>
      <c r="C21" s="743">
        <f>'[4]Table 8   2-1-10 Membership'!U44</f>
        <v>2513</v>
      </c>
      <c r="D21" s="706">
        <f>'Table 3 Levels 1&amp;2'!$AL$46</f>
        <v>3635.3042654739083</v>
      </c>
      <c r="E21" s="706">
        <f>ROUND(C21*D21,0)</f>
        <v>9135520</v>
      </c>
      <c r="F21" s="706">
        <v>779.65573042776441</v>
      </c>
      <c r="G21" s="706">
        <f>F21*C21</f>
        <v>1959274.850564972</v>
      </c>
      <c r="H21" s="707">
        <f>E21+G21</f>
        <v>11094794.850564972</v>
      </c>
      <c r="I21" s="707">
        <f>'October midyear adj'!K44</f>
        <v>353196.79967213375</v>
      </c>
      <c r="J21" s="707">
        <f>'February midyear adj '!K44</f>
        <v>-24282.279977459199</v>
      </c>
      <c r="K21" s="707">
        <f t="shared" ref="K21" si="32">I21+J21</f>
        <v>328914.51969467453</v>
      </c>
      <c r="L21" s="707">
        <f>SUM(H21:J21)</f>
        <v>11423709.370259646</v>
      </c>
      <c r="M21" s="707"/>
      <c r="N21" s="707"/>
      <c r="O21" s="707"/>
      <c r="P21" s="707"/>
      <c r="Q21" s="708" t="s">
        <v>579</v>
      </c>
      <c r="R21" s="722" t="s">
        <v>579</v>
      </c>
      <c r="S21" s="723">
        <f>'[7]Table 5B2_RSD_LA'!$T$21</f>
        <v>-7163</v>
      </c>
      <c r="T21" s="723"/>
      <c r="U21" s="722"/>
      <c r="V21" s="722"/>
      <c r="W21" s="722"/>
      <c r="X21" s="711"/>
      <c r="Y21" s="708"/>
      <c r="Z21" s="708"/>
      <c r="AA21" s="708"/>
      <c r="AB21" s="708"/>
      <c r="AC21" s="708"/>
      <c r="AD21" s="708"/>
      <c r="AE21" s="708"/>
      <c r="AF21" s="708"/>
      <c r="AG21" s="708"/>
      <c r="AH21" s="708"/>
      <c r="AI21" s="708"/>
      <c r="AJ21" s="708" t="s">
        <v>580</v>
      </c>
      <c r="AK21" s="712"/>
      <c r="AL21" s="712"/>
      <c r="AM21" s="712"/>
      <c r="AN21" s="712"/>
      <c r="AO21" s="712"/>
      <c r="AP21" s="712"/>
    </row>
    <row r="22" spans="1:42" s="616" customFormat="1" ht="6" customHeight="1">
      <c r="A22" s="713"/>
      <c r="B22" s="713"/>
      <c r="C22" s="714"/>
      <c r="D22" s="715"/>
      <c r="E22" s="716"/>
      <c r="F22" s="716"/>
      <c r="G22" s="716"/>
      <c r="H22" s="744"/>
      <c r="I22" s="744"/>
      <c r="J22" s="744"/>
      <c r="K22" s="744"/>
      <c r="L22" s="744"/>
      <c r="M22" s="744"/>
      <c r="N22" s="744"/>
      <c r="O22" s="744"/>
      <c r="P22" s="744"/>
      <c r="Q22" s="716"/>
      <c r="R22" s="745"/>
      <c r="S22" s="746"/>
      <c r="T22" s="746"/>
      <c r="U22" s="745"/>
      <c r="V22" s="745"/>
      <c r="W22" s="745"/>
      <c r="X22" s="716"/>
      <c r="Y22" s="716"/>
      <c r="Z22" s="716"/>
      <c r="AA22" s="716"/>
      <c r="AB22" s="716"/>
      <c r="AC22" s="716"/>
      <c r="AD22" s="716"/>
      <c r="AE22" s="716"/>
      <c r="AF22" s="716"/>
      <c r="AG22" s="716"/>
      <c r="AH22" s="716"/>
      <c r="AI22" s="716"/>
      <c r="AJ22" s="716"/>
      <c r="AK22" s="716"/>
      <c r="AL22" s="716"/>
      <c r="AM22" s="716"/>
      <c r="AN22" s="716"/>
      <c r="AO22" s="716"/>
      <c r="AP22" s="716"/>
    </row>
    <row r="23" spans="1:42" ht="38.25" customHeight="1">
      <c r="A23" s="747">
        <v>377003</v>
      </c>
      <c r="B23" s="747" t="s">
        <v>592</v>
      </c>
      <c r="C23" s="748">
        <f>'[4]Table 8   2-1-10 Membership'!U168</f>
        <v>304</v>
      </c>
      <c r="D23" s="706">
        <f>'Table 3 Levels 1&amp;2'!$AL$46</f>
        <v>3635.3042654739083</v>
      </c>
      <c r="E23" s="706">
        <f>ROUND(C23*D23,0)</f>
        <v>1105132</v>
      </c>
      <c r="F23" s="706">
        <v>720.25142180094781</v>
      </c>
      <c r="G23" s="706">
        <f>F23*C23</f>
        <v>218956.43222748814</v>
      </c>
      <c r="H23" s="707">
        <f>E23+G23</f>
        <v>1324088.4322274881</v>
      </c>
      <c r="I23" s="707">
        <f>'October midyear adj'!K199</f>
        <v>-8711.1113745497132</v>
      </c>
      <c r="J23" s="707">
        <f>'February midyear adj '!K203</f>
        <v>-54444.446090935708</v>
      </c>
      <c r="K23" s="707">
        <f t="shared" ref="K23" si="33">I23+J23</f>
        <v>-63155.557465485421</v>
      </c>
      <c r="L23" s="707">
        <f>SUM(H23:J23)</f>
        <v>1260932.8747620026</v>
      </c>
      <c r="M23" s="707">
        <f>-L23*$M$5</f>
        <v>-22066.325308335046</v>
      </c>
      <c r="N23" s="707">
        <f>-L23*$N$5</f>
        <v>-3152.3321869050064</v>
      </c>
      <c r="O23" s="707">
        <f>M23+N23</f>
        <v>-25218.657495240052</v>
      </c>
      <c r="P23" s="707">
        <f>L23+O23</f>
        <v>1235714.2172667626</v>
      </c>
      <c r="Q23" s="707">
        <v>-11839</v>
      </c>
      <c r="R23" s="722">
        <f>SUM(P23:Q23)</f>
        <v>1223875.2172667626</v>
      </c>
      <c r="S23" s="723">
        <f>'[7]Table 5B2_RSD_LA'!$T$23</f>
        <v>-851</v>
      </c>
      <c r="T23" s="723">
        <f t="shared" ref="T23" si="34">R23+S23</f>
        <v>1223024.2172667626</v>
      </c>
      <c r="U23" s="722">
        <f>'[8]RSD-LA'!$CT$14+106978</f>
        <v>857007</v>
      </c>
      <c r="V23" s="722">
        <f>T23-U23</f>
        <v>366017.21726676263</v>
      </c>
      <c r="W23" s="722">
        <f>V23/4</f>
        <v>91504.304316690657</v>
      </c>
      <c r="X23" s="707">
        <f>'[9]FY2011-12_Final'!$D$46</f>
        <v>3844</v>
      </c>
      <c r="Y23" s="706">
        <f>X23*C23</f>
        <v>1168576</v>
      </c>
      <c r="Z23" s="724">
        <f>'October midyear adj'!E199</f>
        <v>-2</v>
      </c>
      <c r="AA23" s="706">
        <f>Z23*X23</f>
        <v>-7688</v>
      </c>
      <c r="AB23" s="724">
        <f>'February midyear adj '!E203</f>
        <v>-25</v>
      </c>
      <c r="AC23" s="706">
        <f>(X23*0.5)*AB23</f>
        <v>-48050</v>
      </c>
      <c r="AD23" s="706">
        <f t="shared" ref="AD23" si="35">AA23+AC23</f>
        <v>-55738</v>
      </c>
      <c r="AE23" s="706">
        <f>Y23+AA23+AC23</f>
        <v>1112838</v>
      </c>
      <c r="AF23" s="706">
        <f t="shared" ref="AF23" si="36">-AE23*$AF$5</f>
        <v>-19474.665000000001</v>
      </c>
      <c r="AG23" s="706">
        <f>-AE23*$AG$5</f>
        <v>-2782.0950000000003</v>
      </c>
      <c r="AH23" s="706">
        <f>AF23+AG23</f>
        <v>-22256.760000000002</v>
      </c>
      <c r="AI23" s="706">
        <f>AE23+AH23</f>
        <v>1090581.24</v>
      </c>
      <c r="AJ23" s="706">
        <v>-8096</v>
      </c>
      <c r="AK23" s="725">
        <f>SUM(AI23:AJ23)</f>
        <v>1082485.24</v>
      </c>
      <c r="AL23" s="725">
        <f>'[8]RSD-LA'!$CU$14+97887</f>
        <v>783096</v>
      </c>
      <c r="AM23" s="725">
        <f>AK23-AL23</f>
        <v>299389.24</v>
      </c>
      <c r="AN23" s="725">
        <f>AM23/4</f>
        <v>74847.31</v>
      </c>
      <c r="AO23" s="725">
        <f>T23+AK23</f>
        <v>2305509.4572667629</v>
      </c>
      <c r="AP23" s="725">
        <f>W23+AN23</f>
        <v>166351.61431669065</v>
      </c>
    </row>
    <row r="24" spans="1:42" s="532" customFormat="1" ht="39.75" customHeight="1">
      <c r="A24" s="749"/>
      <c r="B24" s="749" t="s">
        <v>593</v>
      </c>
      <c r="C24" s="750">
        <f>SUM(C21:C23)</f>
        <v>2817</v>
      </c>
      <c r="D24" s="751"/>
      <c r="E24" s="751">
        <f>SUM(E21:E23)</f>
        <v>10240652</v>
      </c>
      <c r="F24" s="751"/>
      <c r="G24" s="751">
        <f>SUM(G21:G23)</f>
        <v>2178231.2827924602</v>
      </c>
      <c r="H24" s="751">
        <f>SUM(H21:H23)</f>
        <v>12418883.28279246</v>
      </c>
      <c r="I24" s="751">
        <f>I21+I23</f>
        <v>344485.68829758407</v>
      </c>
      <c r="J24" s="751">
        <f>J21+J23</f>
        <v>-78726.726068394899</v>
      </c>
      <c r="K24" s="751">
        <f>K21+K23</f>
        <v>265758.96222918911</v>
      </c>
      <c r="L24" s="751">
        <f>L21+L23</f>
        <v>12684642.245021649</v>
      </c>
      <c r="M24" s="751"/>
      <c r="N24" s="751"/>
      <c r="O24" s="751"/>
      <c r="P24" s="751"/>
      <c r="Q24" s="751"/>
      <c r="R24" s="751"/>
      <c r="S24" s="751">
        <f>SUM(S21:S23)</f>
        <v>-8014</v>
      </c>
      <c r="T24" s="751"/>
      <c r="U24" s="751"/>
      <c r="V24" s="751"/>
      <c r="W24" s="751"/>
      <c r="X24" s="751"/>
      <c r="Y24" s="751"/>
      <c r="Z24" s="751"/>
      <c r="AA24" s="751"/>
      <c r="AB24" s="751"/>
      <c r="AC24" s="751"/>
      <c r="AD24" s="751"/>
      <c r="AE24" s="751"/>
      <c r="AF24" s="751"/>
      <c r="AG24" s="751"/>
      <c r="AH24" s="751"/>
      <c r="AI24" s="751"/>
      <c r="AJ24" s="751"/>
      <c r="AK24" s="751"/>
      <c r="AL24" s="751"/>
      <c r="AM24" s="751"/>
      <c r="AN24" s="751"/>
      <c r="AO24" s="751"/>
      <c r="AP24" s="751"/>
    </row>
    <row r="25" spans="1:42" ht="6.75" customHeight="1">
      <c r="A25" s="739"/>
      <c r="B25" s="739"/>
      <c r="C25" s="740"/>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741"/>
    </row>
    <row r="26" spans="1:42" s="441" customFormat="1" ht="35.25" customHeight="1">
      <c r="A26" s="703"/>
      <c r="B26" s="703" t="s">
        <v>594</v>
      </c>
      <c r="C26" s="743">
        <f>'[4]Table 8   2-1-10 Membership'!U14</f>
        <v>40761</v>
      </c>
      <c r="D26" s="705">
        <f>'Table 3 Levels 1&amp;2'!$AL$16</f>
        <v>4384.9112825532311</v>
      </c>
      <c r="E26" s="706">
        <f>ROUND(C26*D26,0)</f>
        <v>178733369</v>
      </c>
      <c r="F26" s="752">
        <v>744.76</v>
      </c>
      <c r="G26" s="706">
        <f>F26*C26</f>
        <v>30357162.359999999</v>
      </c>
      <c r="H26" s="707">
        <f>E26+G26</f>
        <v>209090531.36000001</v>
      </c>
      <c r="I26" s="707">
        <f>'October midyear adj'!K14</f>
        <v>-189797.83745446955</v>
      </c>
      <c r="J26" s="707">
        <f>'February midyear adj '!K14</f>
        <v>-182103.33053063971</v>
      </c>
      <c r="K26" s="707">
        <f t="shared" ref="K26" si="37">I26+J26</f>
        <v>-371901.16798510926</v>
      </c>
      <c r="L26" s="707">
        <f>SUM(H26:J26)</f>
        <v>208718630.1920149</v>
      </c>
      <c r="M26" s="707"/>
      <c r="N26" s="707"/>
      <c r="O26" s="707"/>
      <c r="P26" s="707"/>
      <c r="Q26" s="708" t="s">
        <v>579</v>
      </c>
      <c r="R26" s="722" t="s">
        <v>579</v>
      </c>
      <c r="S26" s="723">
        <f>'[7]Table 5B2_RSD_LA'!$T$26</f>
        <v>-134966</v>
      </c>
      <c r="T26" s="723"/>
      <c r="U26" s="722"/>
      <c r="V26" s="722"/>
      <c r="W26" s="722"/>
      <c r="X26" s="708"/>
      <c r="Y26" s="708"/>
      <c r="Z26" s="708"/>
      <c r="AA26" s="708"/>
      <c r="AB26" s="708"/>
      <c r="AC26" s="708"/>
      <c r="AD26" s="708"/>
      <c r="AE26" s="708"/>
      <c r="AF26" s="708"/>
      <c r="AG26" s="708"/>
      <c r="AH26" s="708"/>
      <c r="AI26" s="708"/>
      <c r="AJ26" s="708"/>
      <c r="AK26" s="712"/>
      <c r="AL26" s="712"/>
      <c r="AM26" s="712"/>
      <c r="AN26" s="712"/>
      <c r="AO26" s="712"/>
      <c r="AP26" s="712"/>
    </row>
    <row r="27" spans="1:42" s="616" customFormat="1" ht="6" customHeight="1">
      <c r="A27" s="713"/>
      <c r="B27" s="713"/>
      <c r="C27" s="714"/>
      <c r="D27" s="715"/>
      <c r="E27" s="716"/>
      <c r="F27" s="744"/>
      <c r="G27" s="716"/>
      <c r="H27" s="744"/>
      <c r="I27" s="744"/>
      <c r="J27" s="744"/>
      <c r="K27" s="744"/>
      <c r="L27" s="744"/>
      <c r="M27" s="744"/>
      <c r="N27" s="744"/>
      <c r="O27" s="744"/>
      <c r="P27" s="744"/>
      <c r="Q27" s="716"/>
      <c r="R27" s="745"/>
      <c r="S27" s="746"/>
      <c r="T27" s="746"/>
      <c r="U27" s="745"/>
      <c r="V27" s="745"/>
      <c r="W27" s="745"/>
      <c r="X27" s="716"/>
      <c r="Y27" s="716"/>
      <c r="Z27" s="716"/>
      <c r="AA27" s="716"/>
      <c r="AB27" s="716"/>
      <c r="AC27" s="716"/>
      <c r="AD27" s="716"/>
      <c r="AE27" s="716"/>
      <c r="AF27" s="716"/>
      <c r="AG27" s="716"/>
      <c r="AH27" s="716"/>
      <c r="AI27" s="716"/>
      <c r="AJ27" s="716"/>
      <c r="AK27" s="716"/>
      <c r="AL27" s="716"/>
      <c r="AM27" s="716"/>
      <c r="AN27" s="716"/>
      <c r="AO27" s="716"/>
      <c r="AP27" s="716"/>
    </row>
    <row r="28" spans="1:42" ht="32.25" customHeight="1">
      <c r="A28" s="720">
        <v>396201</v>
      </c>
      <c r="B28" s="726" t="s">
        <v>595</v>
      </c>
      <c r="C28" s="727">
        <f>'[4]Table 8   2-1-10 Membership'!U170</f>
        <v>207</v>
      </c>
      <c r="D28" s="705">
        <f>'Table 3 Levels 1&amp;2'!$AL$16</f>
        <v>4384.9112825532311</v>
      </c>
      <c r="E28" s="706">
        <f>ROUND(C28*D28,0)</f>
        <v>907677</v>
      </c>
      <c r="F28" s="752">
        <v>744.76</v>
      </c>
      <c r="G28" s="706">
        <f>F28*C28</f>
        <v>154165.32</v>
      </c>
      <c r="H28" s="707">
        <f>E28+G28</f>
        <v>1061842.32</v>
      </c>
      <c r="I28" s="707">
        <f>'October midyear adj'!K133</f>
        <v>-194927.50873702278</v>
      </c>
      <c r="J28" s="707">
        <f>'February midyear adj '!K137</f>
        <v>-7694.5069238298474</v>
      </c>
      <c r="K28" s="707">
        <f t="shared" ref="K28:K29" si="38">I28+J28</f>
        <v>-202622.01566085263</v>
      </c>
      <c r="L28" s="707">
        <f t="shared" ref="L28:L29" si="39">SUM(H28:J28)</f>
        <v>859220.30433914741</v>
      </c>
      <c r="M28" s="707" t="s">
        <v>580</v>
      </c>
      <c r="N28" s="707" t="s">
        <v>580</v>
      </c>
      <c r="O28" s="707">
        <v>0</v>
      </c>
      <c r="P28" s="707">
        <f t="shared" ref="P28:P29" si="40">L28+O28</f>
        <v>859220.30433914741</v>
      </c>
      <c r="Q28" s="707">
        <v>0</v>
      </c>
      <c r="R28" s="722">
        <f>SUM(P28:Q28)</f>
        <v>859220.30433914741</v>
      </c>
      <c r="S28" s="723">
        <f>'[7]Table 5B2_RSD_LA'!$T$28</f>
        <v>-687.38817699014282</v>
      </c>
      <c r="T28" s="723">
        <f>R28+S28</f>
        <v>858532.91616215731</v>
      </c>
      <c r="U28" s="722">
        <f>'[8]RSD-LA'!$CT$21+88349</f>
        <v>707758</v>
      </c>
      <c r="V28" s="722">
        <f>T28-U28</f>
        <v>150774.91616215731</v>
      </c>
      <c r="W28" s="722">
        <f>V28/4</f>
        <v>37693.729040539329</v>
      </c>
      <c r="X28" s="707">
        <f>'[9]FY2011-12_Final'!$D$16</f>
        <v>3907</v>
      </c>
      <c r="Y28" s="706">
        <f>X28*C28</f>
        <v>808749</v>
      </c>
      <c r="Z28" s="724">
        <f>'October midyear adj'!E133</f>
        <v>-38</v>
      </c>
      <c r="AA28" s="706">
        <f>Z28*X28</f>
        <v>-148466</v>
      </c>
      <c r="AB28" s="724">
        <f>'February midyear adj '!E137</f>
        <v>-3</v>
      </c>
      <c r="AC28" s="706">
        <f>(X28*0.5)*AB28</f>
        <v>-5860.5</v>
      </c>
      <c r="AD28" s="706">
        <f t="shared" ref="AD28:AD29" si="41">AA28+AC28</f>
        <v>-154326.5</v>
      </c>
      <c r="AE28" s="706">
        <f t="shared" ref="AE28:AE29" si="42">Y28+AA28+AC28</f>
        <v>654422.5</v>
      </c>
      <c r="AF28" s="706" t="s">
        <v>580</v>
      </c>
      <c r="AG28" s="706" t="s">
        <v>580</v>
      </c>
      <c r="AH28" s="706">
        <v>0</v>
      </c>
      <c r="AI28" s="706">
        <f t="shared" ref="AI28:AI29" si="43">AE28+AH28</f>
        <v>654422.5</v>
      </c>
      <c r="AJ28" s="706"/>
      <c r="AK28" s="725">
        <f>SUM(AI28:AJ28)</f>
        <v>654422.5</v>
      </c>
      <c r="AL28" s="725">
        <f>'[8]RSD-LA'!$CU$21+65706</f>
        <v>525641</v>
      </c>
      <c r="AM28" s="725">
        <f t="shared" ref="AM28:AM29" si="44">AK28-AL28</f>
        <v>128781.5</v>
      </c>
      <c r="AN28" s="725">
        <f>AM28/4</f>
        <v>32195.375</v>
      </c>
      <c r="AO28" s="725">
        <f>T28+AK28</f>
        <v>1512955.4161621574</v>
      </c>
      <c r="AP28" s="725">
        <f>W28+AN28</f>
        <v>69889.104040539329</v>
      </c>
    </row>
    <row r="29" spans="1:42" ht="32.25" customHeight="1">
      <c r="A29" s="720">
        <v>371001</v>
      </c>
      <c r="B29" s="720" t="s">
        <v>596</v>
      </c>
      <c r="C29" s="727">
        <f>'[4]Table 8   2-1-10 Membership'!U171</f>
        <v>444</v>
      </c>
      <c r="D29" s="705">
        <f>'Table 3 Levels 1&amp;2'!$AL$16</f>
        <v>4384.9112825532311</v>
      </c>
      <c r="E29" s="706">
        <f>ROUND(C29*D29,0)</f>
        <v>1946901</v>
      </c>
      <c r="F29" s="752">
        <v>744.76</v>
      </c>
      <c r="G29" s="706">
        <f>F29*C29</f>
        <v>330673.44</v>
      </c>
      <c r="H29" s="707">
        <f>E29+G29</f>
        <v>2277574.44</v>
      </c>
      <c r="I29" s="707">
        <f>'October midyear adj'!K202</f>
        <v>235964.87899744863</v>
      </c>
      <c r="J29" s="707">
        <f>'February midyear adj '!K206</f>
        <v>-30778.02769531939</v>
      </c>
      <c r="K29" s="707">
        <f t="shared" si="38"/>
        <v>205186.85130212925</v>
      </c>
      <c r="L29" s="707">
        <f t="shared" si="39"/>
        <v>2482761.2913021292</v>
      </c>
      <c r="M29" s="707">
        <f>-L29*$M$5</f>
        <v>-43448.322597787264</v>
      </c>
      <c r="N29" s="707">
        <f>-L29*$N$5</f>
        <v>-6206.9032282553235</v>
      </c>
      <c r="O29" s="707">
        <f>M29+N29</f>
        <v>-49655.225826042588</v>
      </c>
      <c r="P29" s="707">
        <f t="shared" si="40"/>
        <v>2433106.0654760865</v>
      </c>
      <c r="Q29" s="707">
        <v>-4325</v>
      </c>
      <c r="R29" s="722">
        <f>SUM(P29:Q29)</f>
        <v>2428781.0654760865</v>
      </c>
      <c r="S29" s="723">
        <f>'[7]Table 5B2_RSD_LA'!$T$29</f>
        <v>-1467</v>
      </c>
      <c r="T29" s="723">
        <f>R29+S29</f>
        <v>2427314.0654760865</v>
      </c>
      <c r="U29" s="722">
        <f>'[8]RSD-LA'!$CT$17+185348</f>
        <v>1484840</v>
      </c>
      <c r="V29" s="722">
        <f>T29-U29</f>
        <v>942474.06547608646</v>
      </c>
      <c r="W29" s="722">
        <f>V29/4</f>
        <v>235618.51636902161</v>
      </c>
      <c r="X29" s="707">
        <f>'[9]FY2011-12_Final'!$D$16</f>
        <v>3907</v>
      </c>
      <c r="Y29" s="706">
        <f>X29*C29</f>
        <v>1734708</v>
      </c>
      <c r="Z29" s="724">
        <f>'October midyear adj'!E202</f>
        <v>46</v>
      </c>
      <c r="AA29" s="706">
        <f>Z29*X29</f>
        <v>179722</v>
      </c>
      <c r="AB29" s="724">
        <f>'February midyear adj '!E206</f>
        <v>-12</v>
      </c>
      <c r="AC29" s="706">
        <f>(X29*0.5)*AB29</f>
        <v>-23442</v>
      </c>
      <c r="AD29" s="706">
        <f t="shared" si="41"/>
        <v>156280</v>
      </c>
      <c r="AE29" s="706">
        <f t="shared" si="42"/>
        <v>1890988</v>
      </c>
      <c r="AF29" s="706">
        <f t="shared" ref="AF29" si="45">-AE29*$AF$5</f>
        <v>-33092.29</v>
      </c>
      <c r="AG29" s="706">
        <f>-AE29*$AG$5</f>
        <v>-4727.47</v>
      </c>
      <c r="AH29" s="706">
        <f>AF29+AG29</f>
        <v>-37819.760000000002</v>
      </c>
      <c r="AI29" s="706">
        <f t="shared" si="43"/>
        <v>1853168.24</v>
      </c>
      <c r="AJ29" s="706">
        <v>-131.24</v>
      </c>
      <c r="AK29" s="725">
        <f>SUM(AI29:AJ29)</f>
        <v>1853037</v>
      </c>
      <c r="AL29" s="725">
        <f>'[8]RSD-LA'!$CU$17+138104</f>
        <v>1104825</v>
      </c>
      <c r="AM29" s="725">
        <f t="shared" si="44"/>
        <v>748212</v>
      </c>
      <c r="AN29" s="725">
        <f>AM29/4</f>
        <v>187053</v>
      </c>
      <c r="AO29" s="725">
        <f>T29+AK29</f>
        <v>4280351.065476086</v>
      </c>
      <c r="AP29" s="725">
        <f>W29+AN29</f>
        <v>422671.51636902161</v>
      </c>
    </row>
    <row r="30" spans="1:42" s="532" customFormat="1" ht="32.25" customHeight="1">
      <c r="A30" s="728"/>
      <c r="B30" s="728" t="s">
        <v>597</v>
      </c>
      <c r="C30" s="729">
        <f>SUM(C28:C29)</f>
        <v>651</v>
      </c>
      <c r="D30" s="730"/>
      <c r="E30" s="731">
        <f>SUM(E28:E29)</f>
        <v>2854578</v>
      </c>
      <c r="F30" s="732"/>
      <c r="G30" s="731">
        <f t="shared" ref="G30:W30" si="46">SUM(G28:G29)</f>
        <v>484838.76</v>
      </c>
      <c r="H30" s="732">
        <f t="shared" si="46"/>
        <v>3339416.76</v>
      </c>
      <c r="I30" s="732">
        <f>SUM(I28:I29)</f>
        <v>41037.370260425843</v>
      </c>
      <c r="J30" s="732">
        <f>SUM(J28:J29)</f>
        <v>-38472.534619149235</v>
      </c>
      <c r="K30" s="732">
        <f>SUM(K28:K29)</f>
        <v>2564.8356412766152</v>
      </c>
      <c r="L30" s="732">
        <f>SUM(L28:L29)</f>
        <v>3341981.5956412768</v>
      </c>
      <c r="M30" s="732">
        <f t="shared" si="46"/>
        <v>-43448.322597787264</v>
      </c>
      <c r="N30" s="732">
        <f t="shared" si="46"/>
        <v>-6206.9032282553235</v>
      </c>
      <c r="O30" s="732">
        <f t="shared" si="46"/>
        <v>-49655.225826042588</v>
      </c>
      <c r="P30" s="732">
        <f t="shared" si="46"/>
        <v>3292326.3698152341</v>
      </c>
      <c r="Q30" s="731">
        <f t="shared" si="46"/>
        <v>-4325</v>
      </c>
      <c r="R30" s="753">
        <f t="shared" si="46"/>
        <v>3288001.3698152341</v>
      </c>
      <c r="S30" s="754">
        <f>SUM(S28:S29)</f>
        <v>-2154.3881769901427</v>
      </c>
      <c r="T30" s="754">
        <f>SUM(T28:T29)</f>
        <v>3285846.9816382439</v>
      </c>
      <c r="U30" s="753">
        <f>SUM(U28:U29)</f>
        <v>2192598</v>
      </c>
      <c r="V30" s="753">
        <f>SUM(V28:V29)</f>
        <v>1093248.9816382439</v>
      </c>
      <c r="W30" s="753">
        <f t="shared" si="46"/>
        <v>273312.24540956097</v>
      </c>
      <c r="X30" s="731"/>
      <c r="Y30" s="731">
        <f>SUM(Y28:Y29)</f>
        <v>2543457</v>
      </c>
      <c r="Z30" s="733">
        <f t="shared" ref="Z30:AP30" si="47">SUM(Z28:Z29)</f>
        <v>8</v>
      </c>
      <c r="AA30" s="731">
        <f t="shared" si="47"/>
        <v>31256</v>
      </c>
      <c r="AB30" s="733">
        <f t="shared" si="47"/>
        <v>-15</v>
      </c>
      <c r="AC30" s="731">
        <f t="shared" si="47"/>
        <v>-29302.5</v>
      </c>
      <c r="AD30" s="731">
        <f t="shared" si="47"/>
        <v>1953.5</v>
      </c>
      <c r="AE30" s="731">
        <f t="shared" si="47"/>
        <v>2545410.5</v>
      </c>
      <c r="AF30" s="731">
        <f t="shared" si="47"/>
        <v>-33092.29</v>
      </c>
      <c r="AG30" s="731">
        <f t="shared" si="47"/>
        <v>-4727.47</v>
      </c>
      <c r="AH30" s="731">
        <f t="shared" si="47"/>
        <v>-37819.760000000002</v>
      </c>
      <c r="AI30" s="731">
        <f t="shared" si="47"/>
        <v>2507590.7400000002</v>
      </c>
      <c r="AJ30" s="731">
        <f t="shared" si="47"/>
        <v>-131.24</v>
      </c>
      <c r="AK30" s="734">
        <f t="shared" si="47"/>
        <v>2507459.5</v>
      </c>
      <c r="AL30" s="734">
        <f t="shared" si="47"/>
        <v>1630466</v>
      </c>
      <c r="AM30" s="734">
        <f t="shared" si="47"/>
        <v>876993.5</v>
      </c>
      <c r="AN30" s="734">
        <f t="shared" si="47"/>
        <v>219248.375</v>
      </c>
      <c r="AO30" s="734">
        <f t="shared" si="47"/>
        <v>5793306.4816382434</v>
      </c>
      <c r="AP30" s="734">
        <f t="shared" si="47"/>
        <v>492560.62040956097</v>
      </c>
    </row>
    <row r="31" spans="1:42" s="532" customFormat="1" ht="33.75" customHeight="1">
      <c r="A31" s="749"/>
      <c r="B31" s="749" t="s">
        <v>598</v>
      </c>
      <c r="C31" s="750">
        <f>C30+C26</f>
        <v>41412</v>
      </c>
      <c r="D31" s="755"/>
      <c r="E31" s="751">
        <f>E30+E26</f>
        <v>181587947</v>
      </c>
      <c r="F31" s="751"/>
      <c r="G31" s="751">
        <f>G30+G26</f>
        <v>30842001.120000001</v>
      </c>
      <c r="H31" s="751">
        <f>H30+H26</f>
        <v>212429948.12</v>
      </c>
      <c r="I31" s="751">
        <f>I26+I30</f>
        <v>-148760.46719404371</v>
      </c>
      <c r="J31" s="751">
        <f>J26+J30</f>
        <v>-220575.86514978894</v>
      </c>
      <c r="K31" s="751">
        <f>K26+K30</f>
        <v>-369336.33234383265</v>
      </c>
      <c r="L31" s="751">
        <f>L26+L30</f>
        <v>212060611.78765619</v>
      </c>
      <c r="M31" s="751"/>
      <c r="N31" s="751"/>
      <c r="O31" s="751"/>
      <c r="P31" s="751"/>
      <c r="Q31" s="751"/>
      <c r="R31" s="751"/>
      <c r="S31" s="751">
        <f>S26+S30</f>
        <v>-137120.38817699015</v>
      </c>
      <c r="T31" s="751"/>
      <c r="U31" s="751"/>
      <c r="V31" s="751"/>
      <c r="W31" s="751"/>
      <c r="X31" s="751"/>
      <c r="Y31" s="751"/>
      <c r="Z31" s="751"/>
      <c r="AA31" s="751"/>
      <c r="AB31" s="751"/>
      <c r="AC31" s="751"/>
      <c r="AD31" s="751"/>
      <c r="AE31" s="751"/>
      <c r="AF31" s="751"/>
      <c r="AG31" s="751"/>
      <c r="AH31" s="751"/>
      <c r="AI31" s="751"/>
      <c r="AJ31" s="751"/>
      <c r="AK31" s="751"/>
      <c r="AL31" s="751"/>
      <c r="AM31" s="751"/>
      <c r="AN31" s="751"/>
      <c r="AO31" s="751"/>
      <c r="AP31" s="751"/>
    </row>
    <row r="32" spans="1:42" s="761" customFormat="1" ht="6.75" customHeight="1">
      <c r="A32" s="756"/>
      <c r="B32" s="756"/>
      <c r="C32" s="757"/>
      <c r="D32" s="758"/>
      <c r="E32" s="759"/>
      <c r="F32" s="759"/>
      <c r="G32" s="759"/>
      <c r="H32" s="760"/>
      <c r="I32" s="760"/>
      <c r="J32" s="760"/>
      <c r="K32" s="760"/>
      <c r="L32" s="760"/>
      <c r="M32" s="760"/>
      <c r="N32" s="760"/>
      <c r="O32" s="760"/>
      <c r="P32" s="760"/>
      <c r="Q32" s="759"/>
      <c r="R32" s="759"/>
      <c r="S32" s="759"/>
      <c r="T32" s="759"/>
      <c r="U32" s="759"/>
      <c r="V32" s="759"/>
      <c r="W32" s="759"/>
      <c r="X32" s="759"/>
      <c r="Y32" s="759"/>
      <c r="Z32" s="759"/>
      <c r="AA32" s="759"/>
      <c r="AB32" s="759"/>
      <c r="AC32" s="759"/>
      <c r="AD32" s="759"/>
      <c r="AE32" s="759"/>
      <c r="AF32" s="759"/>
      <c r="AG32" s="759"/>
      <c r="AH32" s="759"/>
      <c r="AI32" s="759"/>
      <c r="AJ32" s="759"/>
      <c r="AK32" s="759"/>
      <c r="AL32" s="759"/>
      <c r="AM32" s="759"/>
      <c r="AN32" s="759"/>
      <c r="AO32" s="759"/>
      <c r="AP32" s="759"/>
    </row>
    <row r="33" spans="1:42" s="761" customFormat="1" ht="30.75" customHeight="1">
      <c r="A33" s="703"/>
      <c r="B33" s="703" t="s">
        <v>599</v>
      </c>
      <c r="C33" s="743">
        <f>'[4]Table 8   2-1-10 Membership'!U51</f>
        <v>749</v>
      </c>
      <c r="D33" s="706">
        <f>'Table 3 Levels 1&amp;2'!AL53</f>
        <v>5802.1110099800544</v>
      </c>
      <c r="E33" s="706">
        <f>ROUND(C33*D33,0)</f>
        <v>4345781</v>
      </c>
      <c r="F33" s="706">
        <v>728.06</v>
      </c>
      <c r="G33" s="706">
        <f>F33*C33</f>
        <v>545316.93999999994</v>
      </c>
      <c r="H33" s="707">
        <f>E33+G33</f>
        <v>4891097.9399999995</v>
      </c>
      <c r="I33" s="707">
        <f>'October midyear adj'!K51</f>
        <v>39181.026059880329</v>
      </c>
      <c r="J33" s="707">
        <f>'February midyear adj '!K51</f>
        <v>16325.427524950137</v>
      </c>
      <c r="K33" s="707">
        <f t="shared" ref="K33" si="48">I33+J33</f>
        <v>55506.453584830466</v>
      </c>
      <c r="L33" s="707">
        <f>SUM(H33:J33)</f>
        <v>4946604.3935848298</v>
      </c>
      <c r="M33" s="707"/>
      <c r="N33" s="707"/>
      <c r="O33" s="707"/>
      <c r="P33" s="707"/>
      <c r="Q33" s="708" t="s">
        <v>579</v>
      </c>
      <c r="R33" s="709" t="s">
        <v>579</v>
      </c>
      <c r="S33" s="723">
        <f>'[7]Table 5B2_RSD_LA'!$T$33</f>
        <v>-3093</v>
      </c>
      <c r="T33" s="723"/>
      <c r="U33" s="722"/>
      <c r="V33" s="722"/>
      <c r="W33" s="722"/>
      <c r="X33" s="708"/>
      <c r="Y33" s="708"/>
      <c r="Z33" s="708"/>
      <c r="AA33" s="708"/>
      <c r="AB33" s="708"/>
      <c r="AC33" s="708"/>
      <c r="AD33" s="708"/>
      <c r="AE33" s="708"/>
      <c r="AF33" s="708"/>
      <c r="AG33" s="708"/>
      <c r="AH33" s="708"/>
      <c r="AI33" s="708"/>
      <c r="AJ33" s="708"/>
      <c r="AK33" s="712"/>
      <c r="AL33" s="712"/>
      <c r="AM33" s="712"/>
      <c r="AN33" s="712"/>
      <c r="AO33" s="712"/>
      <c r="AP33" s="712"/>
    </row>
    <row r="34" spans="1:42" s="761" customFormat="1" ht="6.75" customHeight="1">
      <c r="A34" s="713"/>
      <c r="B34" s="713"/>
      <c r="C34" s="714"/>
      <c r="D34" s="715"/>
      <c r="E34" s="716"/>
      <c r="F34" s="716"/>
      <c r="G34" s="716"/>
      <c r="H34" s="744"/>
      <c r="I34" s="744"/>
      <c r="J34" s="744"/>
      <c r="K34" s="744"/>
      <c r="L34" s="744"/>
      <c r="M34" s="744"/>
      <c r="N34" s="744"/>
      <c r="O34" s="744"/>
      <c r="P34" s="744"/>
      <c r="Q34" s="744"/>
      <c r="R34" s="762"/>
      <c r="S34" s="746"/>
      <c r="T34" s="746"/>
      <c r="U34" s="763"/>
      <c r="V34" s="763"/>
      <c r="W34" s="763"/>
      <c r="X34" s="744"/>
      <c r="Y34" s="744"/>
      <c r="Z34" s="744"/>
      <c r="AA34" s="744"/>
      <c r="AB34" s="744"/>
      <c r="AC34" s="744"/>
      <c r="AD34" s="744"/>
      <c r="AE34" s="744"/>
      <c r="AF34" s="744"/>
      <c r="AG34" s="744"/>
      <c r="AH34" s="744"/>
      <c r="AI34" s="744"/>
      <c r="AJ34" s="744"/>
      <c r="AK34" s="744"/>
      <c r="AL34" s="744"/>
      <c r="AM34" s="744"/>
      <c r="AN34" s="744"/>
      <c r="AO34" s="744"/>
      <c r="AP34" s="744"/>
    </row>
    <row r="35" spans="1:42" s="761" customFormat="1" ht="34.5" customHeight="1">
      <c r="A35" s="747">
        <v>396200</v>
      </c>
      <c r="B35" s="764" t="s">
        <v>600</v>
      </c>
      <c r="C35" s="748">
        <f>'[4]Table 8   2-1-10 Membership'!U173</f>
        <v>354</v>
      </c>
      <c r="D35" s="706">
        <f>'Table 3 Levels 1&amp;2'!AL53</f>
        <v>5802.1110099800544</v>
      </c>
      <c r="E35" s="706">
        <f>ROUND(C35*D35,0)</f>
        <v>2053947</v>
      </c>
      <c r="F35" s="706">
        <v>728.06</v>
      </c>
      <c r="G35" s="706">
        <f>F35*C35</f>
        <v>257733.24</v>
      </c>
      <c r="H35" s="707">
        <f>E35+G35</f>
        <v>2311680.2400000002</v>
      </c>
      <c r="I35" s="707">
        <f>'October midyear adj'!K134</f>
        <v>-65301.710099800548</v>
      </c>
      <c r="J35" s="707">
        <f>'February midyear adj '!K138</f>
        <v>-26120.684039920219</v>
      </c>
      <c r="K35" s="707">
        <f t="shared" ref="K35" si="49">I35+J35</f>
        <v>-91422.394139720767</v>
      </c>
      <c r="L35" s="707">
        <f>SUM(H35:J35)</f>
        <v>2220257.8458602796</v>
      </c>
      <c r="M35" s="707" t="s">
        <v>580</v>
      </c>
      <c r="N35" s="707" t="s">
        <v>580</v>
      </c>
      <c r="O35" s="707">
        <v>0</v>
      </c>
      <c r="P35" s="707">
        <f>L35+O35</f>
        <v>2220257.8458602796</v>
      </c>
      <c r="Q35" s="707">
        <v>-12746</v>
      </c>
      <c r="R35" s="722">
        <f>SUM(P35:Q35)</f>
        <v>2207511.8458602796</v>
      </c>
      <c r="S35" s="723">
        <f>'[7]Table 5B2_RSD_LA'!$T$35</f>
        <v>-1465.8510005505982</v>
      </c>
      <c r="T35" s="723">
        <f>R35+S35</f>
        <v>2206045.994859729</v>
      </c>
      <c r="U35" s="722">
        <f>'[8]RSD-LA'!$CT$22+191284</f>
        <v>1532330</v>
      </c>
      <c r="V35" s="722">
        <f>T35-U35</f>
        <v>673715.99485972896</v>
      </c>
      <c r="W35" s="722">
        <f>V35/4</f>
        <v>168428.99871493224</v>
      </c>
      <c r="X35" s="707">
        <f>'[9]FY2011-12_Final'!$D$53</f>
        <v>969</v>
      </c>
      <c r="Y35" s="706">
        <f>X35*C35</f>
        <v>343026</v>
      </c>
      <c r="Z35" s="724">
        <f>'October midyear adj'!E134</f>
        <v>-10</v>
      </c>
      <c r="AA35" s="706">
        <f>Z35*X35</f>
        <v>-9690</v>
      </c>
      <c r="AB35" s="724">
        <f>'February midyear adj '!E138</f>
        <v>-8</v>
      </c>
      <c r="AC35" s="706">
        <f>(X35*0.5)*AB35</f>
        <v>-3876</v>
      </c>
      <c r="AD35" s="706">
        <f t="shared" ref="AD35" si="50">AA35+AC35</f>
        <v>-13566</v>
      </c>
      <c r="AE35" s="706">
        <f>Y35+AA35+AC35</f>
        <v>329460</v>
      </c>
      <c r="AF35" s="706" t="s">
        <v>580</v>
      </c>
      <c r="AG35" s="706" t="s">
        <v>580</v>
      </c>
      <c r="AH35" s="706">
        <v>0</v>
      </c>
      <c r="AI35" s="706">
        <f>AE35+AH35</f>
        <v>329460</v>
      </c>
      <c r="AJ35" s="706">
        <v>-2358</v>
      </c>
      <c r="AK35" s="725">
        <f>SUM(AI35:AJ35)</f>
        <v>327102</v>
      </c>
      <c r="AL35" s="725">
        <f>'[8]RSD-LA'!$CU$22+34407</f>
        <v>275256</v>
      </c>
      <c r="AM35" s="725">
        <f>AK35-AL35</f>
        <v>51846</v>
      </c>
      <c r="AN35" s="725">
        <f>AM35/4</f>
        <v>12961.5</v>
      </c>
      <c r="AO35" s="725">
        <f>T35+AK35</f>
        <v>2533147.994859729</v>
      </c>
      <c r="AP35" s="725">
        <f>W35+AN35</f>
        <v>181390.49871493224</v>
      </c>
    </row>
    <row r="36" spans="1:42" s="761" customFormat="1" ht="40.5" customHeight="1">
      <c r="A36" s="749"/>
      <c r="B36" s="749" t="s">
        <v>601</v>
      </c>
      <c r="C36" s="750">
        <f>SUM(C33:C35)</f>
        <v>1103</v>
      </c>
      <c r="D36" s="751"/>
      <c r="E36" s="751">
        <f>SUM(E33:E35)</f>
        <v>6399728</v>
      </c>
      <c r="F36" s="751"/>
      <c r="G36" s="751">
        <f>SUM(G33:G35)</f>
        <v>803050.17999999993</v>
      </c>
      <c r="H36" s="751">
        <f>SUM(H33:H35)</f>
        <v>7202778.1799999997</v>
      </c>
      <c r="I36" s="751">
        <f>I33+I35</f>
        <v>-26120.684039920219</v>
      </c>
      <c r="J36" s="751">
        <f t="shared" ref="J36:L36" si="51">J33+J35</f>
        <v>-9795.2565149700822</v>
      </c>
      <c r="K36" s="751">
        <f t="shared" si="51"/>
        <v>-35915.940554890301</v>
      </c>
      <c r="L36" s="751">
        <f t="shared" si="51"/>
        <v>7166862.2394451089</v>
      </c>
      <c r="M36" s="751"/>
      <c r="N36" s="751"/>
      <c r="O36" s="751"/>
      <c r="P36" s="751"/>
      <c r="Q36" s="751"/>
      <c r="R36" s="751"/>
      <c r="S36" s="751">
        <f>SUM(S33:S35)</f>
        <v>-4558.8510005505977</v>
      </c>
      <c r="T36" s="751"/>
      <c r="U36" s="751"/>
      <c r="V36" s="751"/>
      <c r="W36" s="751"/>
      <c r="X36" s="751"/>
      <c r="Y36" s="751"/>
      <c r="Z36" s="755"/>
      <c r="AA36" s="751"/>
      <c r="AB36" s="755"/>
      <c r="AC36" s="751"/>
      <c r="AD36" s="751"/>
      <c r="AE36" s="751"/>
      <c r="AF36" s="751"/>
      <c r="AG36" s="751"/>
      <c r="AH36" s="751"/>
      <c r="AI36" s="751"/>
      <c r="AJ36" s="751"/>
      <c r="AK36" s="751"/>
      <c r="AL36" s="751"/>
      <c r="AM36" s="751"/>
      <c r="AN36" s="751"/>
      <c r="AO36" s="751"/>
      <c r="AP36" s="751"/>
    </row>
    <row r="37" spans="1:42" s="761" customFormat="1" ht="5.25" customHeight="1">
      <c r="A37" s="756"/>
      <c r="B37" s="756"/>
      <c r="C37" s="757"/>
      <c r="D37" s="758"/>
      <c r="E37" s="759"/>
      <c r="F37" s="759"/>
      <c r="G37" s="759"/>
      <c r="H37" s="759"/>
      <c r="I37" s="759"/>
      <c r="J37" s="759"/>
      <c r="K37" s="759"/>
      <c r="L37" s="759"/>
      <c r="M37" s="759"/>
      <c r="N37" s="759"/>
      <c r="O37" s="759"/>
      <c r="P37" s="759"/>
      <c r="Q37" s="759"/>
      <c r="R37" s="759"/>
      <c r="S37" s="759"/>
      <c r="T37" s="759"/>
      <c r="U37" s="759"/>
      <c r="V37" s="759"/>
      <c r="W37" s="759"/>
      <c r="X37" s="759"/>
      <c r="Y37" s="759"/>
      <c r="Z37" s="759"/>
      <c r="AA37" s="759"/>
      <c r="AB37" s="759"/>
      <c r="AC37" s="759"/>
      <c r="AD37" s="759"/>
      <c r="AE37" s="759"/>
      <c r="AF37" s="759"/>
      <c r="AG37" s="759"/>
      <c r="AH37" s="759"/>
      <c r="AI37" s="759"/>
      <c r="AJ37" s="759"/>
      <c r="AK37" s="759"/>
      <c r="AL37" s="759"/>
      <c r="AM37" s="759"/>
      <c r="AN37" s="759"/>
      <c r="AO37" s="759"/>
      <c r="AP37" s="759"/>
    </row>
    <row r="38" spans="1:42" s="532" customFormat="1" ht="38.25" customHeight="1">
      <c r="A38" s="728"/>
      <c r="B38" s="728" t="s">
        <v>602</v>
      </c>
      <c r="C38" s="765">
        <f>C18+C23+C30+C35</f>
        <v>3627</v>
      </c>
      <c r="D38" s="766"/>
      <c r="E38" s="767">
        <f>E18+E23+E30+E35</f>
        <v>13586106</v>
      </c>
      <c r="F38" s="767"/>
      <c r="G38" s="767">
        <f t="shared" ref="G38:AP38" si="52">G18+G23+G30+G35</f>
        <v>2806553.7837634776</v>
      </c>
      <c r="H38" s="768">
        <f t="shared" si="52"/>
        <v>16392659.783763478</v>
      </c>
      <c r="I38" s="768">
        <f t="shared" si="52"/>
        <v>589919.1440287719</v>
      </c>
      <c r="J38" s="768">
        <f t="shared" si="52"/>
        <v>-324274.79619089206</v>
      </c>
      <c r="K38" s="768">
        <f t="shared" si="52"/>
        <v>265644.34783787979</v>
      </c>
      <c r="L38" s="768">
        <f t="shared" si="52"/>
        <v>16658304.13160136</v>
      </c>
      <c r="M38" s="768">
        <f>M18+M23+M30</f>
        <v>-219524.40986057022</v>
      </c>
      <c r="N38" s="768">
        <f>N18+N23+N30</f>
        <v>-31360.629980081456</v>
      </c>
      <c r="O38" s="768">
        <f t="shared" si="52"/>
        <v>-250885.03984065165</v>
      </c>
      <c r="P38" s="768">
        <f t="shared" si="52"/>
        <v>16407419.091760708</v>
      </c>
      <c r="Q38" s="731">
        <f t="shared" si="52"/>
        <v>-83203.008092693082</v>
      </c>
      <c r="R38" s="769">
        <f t="shared" si="52"/>
        <v>16324216.083668014</v>
      </c>
      <c r="S38" s="767">
        <f t="shared" si="52"/>
        <v>-10596.449336248048</v>
      </c>
      <c r="T38" s="767">
        <f t="shared" si="52"/>
        <v>16313619.634331765</v>
      </c>
      <c r="U38" s="769">
        <f t="shared" si="52"/>
        <v>10929247</v>
      </c>
      <c r="V38" s="769">
        <f t="shared" si="52"/>
        <v>5384372.6343317647</v>
      </c>
      <c r="W38" s="769">
        <f t="shared" si="52"/>
        <v>1346093.1585829412</v>
      </c>
      <c r="X38" s="767"/>
      <c r="Y38" s="767">
        <f t="shared" si="52"/>
        <v>16688159</v>
      </c>
      <c r="Z38" s="767"/>
      <c r="AA38" s="767">
        <f t="shared" si="52"/>
        <v>847728</v>
      </c>
      <c r="AB38" s="767"/>
      <c r="AC38" s="767">
        <f t="shared" si="52"/>
        <v>-356453.5</v>
      </c>
      <c r="AD38" s="767">
        <f t="shared" si="52"/>
        <v>491274.5</v>
      </c>
      <c r="AE38" s="767">
        <f t="shared" si="52"/>
        <v>17179433.5</v>
      </c>
      <c r="AF38" s="767">
        <f>AF18+AF23+AF30</f>
        <v>-258958.45500000002</v>
      </c>
      <c r="AG38" s="767">
        <f>AG18+AG23+AG30</f>
        <v>-36994.065000000002</v>
      </c>
      <c r="AH38" s="767">
        <f t="shared" si="52"/>
        <v>-295952.52</v>
      </c>
      <c r="AI38" s="767">
        <f t="shared" si="52"/>
        <v>16883480.98</v>
      </c>
      <c r="AJ38" s="767">
        <f t="shared" si="52"/>
        <v>-56699.38</v>
      </c>
      <c r="AK38" s="770">
        <f t="shared" si="52"/>
        <v>16826781.600000001</v>
      </c>
      <c r="AL38" s="770">
        <f t="shared" si="52"/>
        <v>11222671</v>
      </c>
      <c r="AM38" s="770">
        <f t="shared" si="52"/>
        <v>5604110.6000000006</v>
      </c>
      <c r="AN38" s="770">
        <f>AN18+AN23+AN30+AN35</f>
        <v>1401027.6500000001</v>
      </c>
      <c r="AO38" s="770">
        <f t="shared" si="52"/>
        <v>33140401.234331768</v>
      </c>
      <c r="AP38" s="770">
        <f t="shared" si="52"/>
        <v>2747120.8085829415</v>
      </c>
    </row>
    <row r="39" spans="1:42" s="616" customFormat="1" ht="8.25" customHeight="1">
      <c r="A39" s="739"/>
      <c r="B39" s="739"/>
      <c r="C39" s="740"/>
      <c r="D39" s="771"/>
      <c r="E39" s="741"/>
      <c r="F39" s="741"/>
      <c r="G39" s="741"/>
      <c r="H39" s="741"/>
      <c r="I39" s="741"/>
      <c r="J39" s="741"/>
      <c r="K39" s="741"/>
      <c r="L39" s="741"/>
      <c r="M39" s="741"/>
      <c r="N39" s="741"/>
      <c r="O39" s="741"/>
      <c r="P39" s="741"/>
      <c r="Q39" s="741"/>
      <c r="R39" s="741"/>
      <c r="S39" s="741"/>
      <c r="T39" s="741"/>
      <c r="U39" s="741"/>
      <c r="V39" s="741"/>
      <c r="W39" s="741"/>
      <c r="X39" s="741"/>
      <c r="Y39" s="741"/>
      <c r="Z39" s="741"/>
      <c r="AA39" s="741"/>
      <c r="AB39" s="741"/>
      <c r="AC39" s="741"/>
      <c r="AD39" s="741"/>
      <c r="AE39" s="741"/>
      <c r="AF39" s="741"/>
      <c r="AG39" s="741"/>
      <c r="AH39" s="741"/>
      <c r="AI39" s="741"/>
      <c r="AJ39" s="741"/>
      <c r="AK39" s="741"/>
      <c r="AL39" s="741"/>
      <c r="AM39" s="741"/>
      <c r="AN39" s="741"/>
      <c r="AO39" s="741"/>
      <c r="AP39" s="741"/>
    </row>
    <row r="40" spans="1:42" s="532" customFormat="1" ht="38.25" customHeight="1">
      <c r="A40" s="728"/>
      <c r="B40" s="728" t="s">
        <v>603</v>
      </c>
      <c r="C40" s="765"/>
      <c r="D40" s="766"/>
      <c r="E40" s="767"/>
      <c r="F40" s="767"/>
      <c r="G40" s="767"/>
      <c r="H40" s="768"/>
      <c r="I40" s="732"/>
      <c r="J40" s="732"/>
      <c r="K40" s="732"/>
      <c r="L40" s="732"/>
      <c r="M40" s="732"/>
      <c r="N40" s="732">
        <f>-N38</f>
        <v>31360.629980081456</v>
      </c>
      <c r="O40" s="732">
        <f>SUM(M40:N40)</f>
        <v>31360.629980081456</v>
      </c>
      <c r="P40" s="732"/>
      <c r="Q40" s="731"/>
      <c r="R40" s="753"/>
      <c r="S40" s="754"/>
      <c r="T40" s="754"/>
      <c r="U40" s="753">
        <v>29714</v>
      </c>
      <c r="V40" s="753">
        <f>O40-U40</f>
        <v>1646.6299800814559</v>
      </c>
      <c r="W40" s="753"/>
      <c r="X40" s="767"/>
      <c r="Y40" s="767"/>
      <c r="Z40" s="767"/>
      <c r="AA40" s="767"/>
      <c r="AB40" s="767"/>
      <c r="AC40" s="767"/>
      <c r="AD40" s="767"/>
      <c r="AE40" s="767"/>
      <c r="AF40" s="767"/>
      <c r="AG40" s="767">
        <f>-AG38</f>
        <v>36994.065000000002</v>
      </c>
      <c r="AH40" s="767">
        <f>SUM(AF40:AG40)</f>
        <v>36994.065000000002</v>
      </c>
      <c r="AI40" s="767"/>
      <c r="AJ40" s="767"/>
      <c r="AK40" s="767"/>
      <c r="AL40" s="767">
        <v>34999</v>
      </c>
      <c r="AM40" s="767">
        <f>AH40-AL40</f>
        <v>1995.0650000000023</v>
      </c>
      <c r="AN40" s="767"/>
      <c r="AO40" s="767"/>
      <c r="AP40" s="767"/>
    </row>
    <row r="41" spans="1:42" s="616" customFormat="1" ht="8.25" customHeight="1">
      <c r="A41" s="739"/>
      <c r="B41" s="739"/>
      <c r="C41" s="740"/>
      <c r="D41" s="771"/>
      <c r="E41" s="741"/>
      <c r="F41" s="741"/>
      <c r="G41" s="741"/>
      <c r="H41" s="741"/>
      <c r="I41" s="741"/>
      <c r="J41" s="741"/>
      <c r="K41" s="741"/>
      <c r="L41" s="741"/>
      <c r="M41" s="741"/>
      <c r="N41" s="741"/>
      <c r="O41" s="741"/>
      <c r="P41" s="741"/>
      <c r="Q41" s="741"/>
      <c r="R41" s="741"/>
      <c r="S41" s="741"/>
      <c r="T41" s="741"/>
      <c r="U41" s="741"/>
      <c r="V41" s="741"/>
      <c r="W41" s="741"/>
      <c r="X41" s="741"/>
      <c r="Y41" s="741"/>
      <c r="Z41" s="741"/>
      <c r="AA41" s="741"/>
      <c r="AB41" s="741"/>
      <c r="AC41" s="741"/>
      <c r="AD41" s="741"/>
      <c r="AE41" s="741"/>
      <c r="AF41" s="741"/>
      <c r="AG41" s="741"/>
      <c r="AH41" s="741"/>
      <c r="AI41" s="741"/>
      <c r="AJ41" s="741"/>
      <c r="AK41" s="741"/>
      <c r="AL41" s="741"/>
      <c r="AM41" s="741"/>
      <c r="AN41" s="741"/>
      <c r="AO41" s="741"/>
      <c r="AP41" s="741"/>
    </row>
    <row r="42" spans="1:42" s="532" customFormat="1" ht="38.25" customHeight="1">
      <c r="A42" s="728"/>
      <c r="B42" s="728" t="s">
        <v>604</v>
      </c>
      <c r="C42" s="765"/>
      <c r="D42" s="766"/>
      <c r="E42" s="767"/>
      <c r="F42" s="767"/>
      <c r="G42" s="767"/>
      <c r="H42" s="768"/>
      <c r="I42" s="732"/>
      <c r="J42" s="732"/>
      <c r="K42" s="732"/>
      <c r="L42" s="732"/>
      <c r="M42" s="732">
        <f>-M38</f>
        <v>219524.40986057022</v>
      </c>
      <c r="N42" s="732"/>
      <c r="O42" s="732">
        <f>SUM(M42:N42)</f>
        <v>219524.40986057022</v>
      </c>
      <c r="P42" s="732"/>
      <c r="Q42" s="731"/>
      <c r="R42" s="753"/>
      <c r="S42" s="754"/>
      <c r="T42" s="754"/>
      <c r="U42" s="753">
        <v>208001</v>
      </c>
      <c r="V42" s="753">
        <f>O42-U42</f>
        <v>11523.409860570217</v>
      </c>
      <c r="W42" s="753"/>
      <c r="X42" s="767"/>
      <c r="Y42" s="767"/>
      <c r="Z42" s="767"/>
      <c r="AA42" s="767"/>
      <c r="AB42" s="767"/>
      <c r="AC42" s="767"/>
      <c r="AD42" s="767"/>
      <c r="AE42" s="767"/>
      <c r="AF42" s="767">
        <f>-AF38</f>
        <v>258958.45500000002</v>
      </c>
      <c r="AG42" s="767"/>
      <c r="AH42" s="767">
        <f>SUM(AF42:AG42)</f>
        <v>258958.45500000002</v>
      </c>
      <c r="AI42" s="767"/>
      <c r="AJ42" s="767"/>
      <c r="AK42" s="767"/>
      <c r="AL42" s="767">
        <v>244995</v>
      </c>
      <c r="AM42" s="767">
        <f>AH42-AL42</f>
        <v>13963.455000000016</v>
      </c>
      <c r="AN42" s="767"/>
      <c r="AO42" s="767"/>
      <c r="AP42" s="767"/>
    </row>
    <row r="43" spans="1:42" s="616" customFormat="1" ht="8.25" customHeight="1">
      <c r="A43" s="739"/>
      <c r="B43" s="739"/>
      <c r="C43" s="740"/>
      <c r="D43" s="771"/>
      <c r="E43" s="741"/>
      <c r="F43" s="741"/>
      <c r="G43" s="741"/>
      <c r="H43" s="741"/>
      <c r="I43" s="741"/>
      <c r="J43" s="741"/>
      <c r="K43" s="741"/>
      <c r="L43" s="741"/>
      <c r="M43" s="741"/>
      <c r="N43" s="741"/>
      <c r="O43" s="741"/>
      <c r="P43" s="741"/>
      <c r="Q43" s="741"/>
      <c r="R43" s="741"/>
      <c r="S43" s="741"/>
      <c r="T43" s="741"/>
      <c r="U43" s="741"/>
      <c r="V43" s="741"/>
      <c r="W43" s="741"/>
      <c r="X43" s="741"/>
      <c r="Y43" s="741"/>
      <c r="Z43" s="741"/>
      <c r="AA43" s="741"/>
      <c r="AB43" s="741"/>
      <c r="AC43" s="741"/>
      <c r="AD43" s="741"/>
      <c r="AE43" s="741"/>
      <c r="AF43" s="741">
        <f>-AF38</f>
        <v>258958.45500000002</v>
      </c>
      <c r="AG43" s="741"/>
      <c r="AH43" s="741"/>
      <c r="AI43" s="741"/>
      <c r="AJ43" s="741"/>
      <c r="AK43" s="741"/>
      <c r="AL43" s="741"/>
      <c r="AM43" s="741"/>
      <c r="AN43" s="741"/>
      <c r="AO43" s="741"/>
      <c r="AP43" s="741"/>
    </row>
    <row r="44" spans="1:42" s="532" customFormat="1" ht="33.75" customHeight="1">
      <c r="A44" s="728"/>
      <c r="B44" s="728" t="s">
        <v>450</v>
      </c>
      <c r="C44" s="765"/>
      <c r="D44" s="766"/>
      <c r="E44" s="767"/>
      <c r="F44" s="767"/>
      <c r="G44" s="767"/>
      <c r="H44" s="768"/>
      <c r="I44" s="732"/>
      <c r="J44" s="732"/>
      <c r="K44" s="732"/>
      <c r="L44" s="732"/>
      <c r="M44" s="732">
        <f>SUM(M38:M42)</f>
        <v>0</v>
      </c>
      <c r="N44" s="732">
        <f>SUM(N38:N42)</f>
        <v>0</v>
      </c>
      <c r="O44" s="732">
        <f>SUM(O38:O42)</f>
        <v>0</v>
      </c>
      <c r="P44" s="732"/>
      <c r="Q44" s="731"/>
      <c r="R44" s="753"/>
      <c r="S44" s="754"/>
      <c r="T44" s="754"/>
      <c r="U44" s="753">
        <f>SUM(U38:U43)</f>
        <v>11166962</v>
      </c>
      <c r="V44" s="753"/>
      <c r="W44" s="753"/>
      <c r="X44" s="767"/>
      <c r="Y44" s="767"/>
      <c r="Z44" s="767"/>
      <c r="AA44" s="767"/>
      <c r="AB44" s="767"/>
      <c r="AC44" s="767"/>
      <c r="AD44" s="767"/>
      <c r="AE44" s="767"/>
      <c r="AF44" s="767">
        <f>SUM(AF38:AF42)</f>
        <v>0</v>
      </c>
      <c r="AG44" s="767">
        <f>SUM(AG38:AG42)</f>
        <v>0</v>
      </c>
      <c r="AH44" s="767">
        <f>SUM(AH38:AH42)</f>
        <v>0</v>
      </c>
      <c r="AI44" s="767"/>
      <c r="AJ44" s="767"/>
      <c r="AK44" s="767"/>
      <c r="AL44" s="767">
        <f>SUM(AL38:AL42)</f>
        <v>11502665</v>
      </c>
      <c r="AM44" s="767"/>
      <c r="AN44" s="767"/>
      <c r="AO44" s="767"/>
      <c r="AP44" s="767"/>
    </row>
    <row r="45" spans="1:42" ht="23.25" customHeight="1">
      <c r="A45" s="772"/>
      <c r="B45" s="772"/>
      <c r="C45" s="1728"/>
      <c r="D45" s="1728"/>
      <c r="E45" s="1728"/>
      <c r="F45" s="1728"/>
      <c r="G45" s="1728"/>
      <c r="H45" s="1728"/>
      <c r="I45" s="1728"/>
      <c r="J45" s="1728"/>
      <c r="K45" s="1728"/>
      <c r="L45" s="1728"/>
      <c r="M45" s="1728"/>
      <c r="N45" s="1728"/>
      <c r="O45" s="1728"/>
      <c r="P45" s="1728"/>
      <c r="Q45" s="1728"/>
      <c r="R45" s="1728"/>
      <c r="S45" s="773"/>
      <c r="T45" s="773"/>
      <c r="U45" s="773"/>
      <c r="V45" s="773"/>
      <c r="W45" s="636"/>
      <c r="X45" s="636"/>
      <c r="Y45" s="637"/>
      <c r="Z45" s="637"/>
      <c r="AA45" s="637"/>
      <c r="AB45" s="637"/>
      <c r="AC45" s="637"/>
      <c r="AD45" s="637"/>
      <c r="AE45" s="637"/>
    </row>
    <row r="46" spans="1:42" s="1478" customFormat="1" ht="19.5" hidden="1" customHeight="1">
      <c r="I46" s="1478" t="s">
        <v>605</v>
      </c>
      <c r="J46" s="1729" t="s">
        <v>606</v>
      </c>
      <c r="K46" s="1729"/>
      <c r="L46" s="1730" t="s">
        <v>76</v>
      </c>
      <c r="M46" s="1730"/>
      <c r="N46" s="1727" t="s">
        <v>77</v>
      </c>
      <c r="O46" s="1727"/>
      <c r="AE46" s="1478" t="s">
        <v>607</v>
      </c>
      <c r="AF46" s="1729" t="s">
        <v>606</v>
      </c>
      <c r="AG46" s="1729"/>
      <c r="AH46" s="1730" t="s">
        <v>76</v>
      </c>
      <c r="AI46" s="1730"/>
      <c r="AJ46" s="1727" t="s">
        <v>77</v>
      </c>
      <c r="AK46" s="1727"/>
    </row>
    <row r="47" spans="1:42" s="1478" customFormat="1" hidden="1">
      <c r="J47" s="1504" t="s">
        <v>608</v>
      </c>
      <c r="K47" s="1478" t="s">
        <v>609</v>
      </c>
      <c r="L47" s="1504" t="s">
        <v>608</v>
      </c>
      <c r="M47" s="1478" t="s">
        <v>609</v>
      </c>
      <c r="N47" s="1504" t="s">
        <v>608</v>
      </c>
      <c r="O47" s="1478" t="s">
        <v>609</v>
      </c>
      <c r="AF47" s="1504" t="s">
        <v>608</v>
      </c>
      <c r="AG47" s="1504" t="s">
        <v>609</v>
      </c>
      <c r="AH47" s="1504" t="s">
        <v>608</v>
      </c>
      <c r="AI47" s="1504" t="s">
        <v>609</v>
      </c>
      <c r="AJ47" s="1504" t="s">
        <v>608</v>
      </c>
      <c r="AK47" s="1504" t="s">
        <v>609</v>
      </c>
    </row>
    <row r="48" spans="1:42" s="1478" customFormat="1" hidden="1">
      <c r="F48" s="1479"/>
      <c r="J48" s="1505">
        <v>154010</v>
      </c>
      <c r="K48" s="1505">
        <v>22001</v>
      </c>
      <c r="L48" s="1505">
        <v>22066</v>
      </c>
      <c r="M48" s="1505">
        <v>3152</v>
      </c>
      <c r="N48" s="1505">
        <v>43448</v>
      </c>
      <c r="O48" s="1505">
        <v>6207</v>
      </c>
      <c r="AF48" s="1505">
        <v>206392</v>
      </c>
      <c r="AG48" s="1505">
        <v>29485</v>
      </c>
      <c r="AH48" s="1505">
        <v>19475</v>
      </c>
      <c r="AI48" s="1505">
        <v>2782</v>
      </c>
      <c r="AJ48" s="1505">
        <v>33092</v>
      </c>
      <c r="AK48" s="1505">
        <v>4727</v>
      </c>
    </row>
    <row r="49" spans="9:37" s="1478" customFormat="1" ht="5.25" hidden="1" customHeight="1">
      <c r="J49" s="1504"/>
      <c r="L49" s="1504"/>
      <c r="N49" s="1504"/>
      <c r="AF49" s="1504"/>
      <c r="AG49" s="1504"/>
      <c r="AH49" s="1504"/>
      <c r="AI49" s="1504"/>
      <c r="AJ49" s="1504"/>
      <c r="AK49" s="1504"/>
    </row>
    <row r="50" spans="9:37" s="1478" customFormat="1" hidden="1">
      <c r="I50" s="1478" t="s">
        <v>610</v>
      </c>
      <c r="J50" s="1506">
        <v>144971</v>
      </c>
      <c r="K50" s="1506">
        <v>20710</v>
      </c>
      <c r="L50" s="1506">
        <v>23172</v>
      </c>
      <c r="M50" s="1506">
        <v>3310</v>
      </c>
      <c r="N50" s="1506">
        <v>39858</v>
      </c>
      <c r="O50" s="1506">
        <v>5694</v>
      </c>
      <c r="AE50" s="1478" t="s">
        <v>611</v>
      </c>
      <c r="AF50" s="1506">
        <v>194279</v>
      </c>
      <c r="AG50" s="1506">
        <v>27754</v>
      </c>
      <c r="AH50" s="1506">
        <v>21120</v>
      </c>
      <c r="AI50" s="1506">
        <v>3017</v>
      </c>
      <c r="AJ50" s="1506">
        <v>29596</v>
      </c>
      <c r="AK50" s="1506">
        <v>4228</v>
      </c>
    </row>
    <row r="51" spans="9:37" s="1478" customFormat="1" hidden="1">
      <c r="J51" s="1505">
        <f>J48-J50</f>
        <v>9039</v>
      </c>
      <c r="K51" s="1505">
        <f t="shared" ref="K51:O51" si="53">K48-K50</f>
        <v>1291</v>
      </c>
      <c r="L51" s="1505">
        <f t="shared" si="53"/>
        <v>-1106</v>
      </c>
      <c r="M51" s="1505">
        <f t="shared" si="53"/>
        <v>-158</v>
      </c>
      <c r="N51" s="1505">
        <f t="shared" si="53"/>
        <v>3590</v>
      </c>
      <c r="O51" s="1505">
        <f t="shared" si="53"/>
        <v>513</v>
      </c>
      <c r="AF51" s="1505">
        <f>AF48-AF50</f>
        <v>12113</v>
      </c>
      <c r="AG51" s="1505">
        <f t="shared" ref="AG51:AK51" si="54">AG48-AG50</f>
        <v>1731</v>
      </c>
      <c r="AH51" s="1505">
        <f t="shared" si="54"/>
        <v>-1645</v>
      </c>
      <c r="AI51" s="1505">
        <f t="shared" si="54"/>
        <v>-235</v>
      </c>
      <c r="AJ51" s="1505">
        <f t="shared" si="54"/>
        <v>3496</v>
      </c>
      <c r="AK51" s="1505">
        <f t="shared" si="54"/>
        <v>499</v>
      </c>
    </row>
    <row r="52" spans="9:37" s="1478" customFormat="1" hidden="1"/>
    <row r="53" spans="9:37" s="1478" customFormat="1" hidden="1">
      <c r="I53" s="1478" t="s">
        <v>612</v>
      </c>
      <c r="J53" s="1481">
        <f>J51+L51+N51</f>
        <v>11523</v>
      </c>
      <c r="AE53" s="1478" t="s">
        <v>613</v>
      </c>
      <c r="AF53" s="1481">
        <f>AF51+AH51+AJ51</f>
        <v>13964</v>
      </c>
    </row>
    <row r="54" spans="9:37" s="1478" customFormat="1" hidden="1">
      <c r="I54" s="1478" t="s">
        <v>614</v>
      </c>
      <c r="J54" s="1481">
        <f>K51+M51+O51</f>
        <v>1646</v>
      </c>
      <c r="AE54" s="1478" t="s">
        <v>615</v>
      </c>
      <c r="AF54" s="1481">
        <f>AG51+AI51+AK51</f>
        <v>1995</v>
      </c>
    </row>
  </sheetData>
  <sheetProtection selectLockedCells="1" selectUnlockedCells="1"/>
  <mergeCells count="49">
    <mergeCell ref="AF3:AH3"/>
    <mergeCell ref="B2:R2"/>
    <mergeCell ref="F3:G3"/>
    <mergeCell ref="I3:K3"/>
    <mergeCell ref="M3:O3"/>
    <mergeCell ref="Z3:AD3"/>
    <mergeCell ref="L4:L5"/>
    <mergeCell ref="A4:A5"/>
    <mergeCell ref="B4:B5"/>
    <mergeCell ref="C4:C5"/>
    <mergeCell ref="D4:D5"/>
    <mergeCell ref="E4:E5"/>
    <mergeCell ref="F4:F5"/>
    <mergeCell ref="G4:G5"/>
    <mergeCell ref="H4:H5"/>
    <mergeCell ref="I4:I5"/>
    <mergeCell ref="J4:J5"/>
    <mergeCell ref="K4:K5"/>
    <mergeCell ref="Z4:Z5"/>
    <mergeCell ref="O4:O5"/>
    <mergeCell ref="P4:P5"/>
    <mergeCell ref="Q4:Q5"/>
    <mergeCell ref="R4:R5"/>
    <mergeCell ref="S4:S5"/>
    <mergeCell ref="T4:T5"/>
    <mergeCell ref="U4:U5"/>
    <mergeCell ref="V4:V5"/>
    <mergeCell ref="W4:W5"/>
    <mergeCell ref="X4:X5"/>
    <mergeCell ref="Y4:Y5"/>
    <mergeCell ref="AP4:AP5"/>
    <mergeCell ref="AA4:AA5"/>
    <mergeCell ref="AB4:AB5"/>
    <mergeCell ref="AC4:AC5"/>
    <mergeCell ref="AD4:AD5"/>
    <mergeCell ref="AE4:AE5"/>
    <mergeCell ref="AH4:AH5"/>
    <mergeCell ref="AI4:AI5"/>
    <mergeCell ref="AJ4:AJ5"/>
    <mergeCell ref="AK4:AK5"/>
    <mergeCell ref="AN4:AN5"/>
    <mergeCell ref="AO4:AO5"/>
    <mergeCell ref="AJ46:AK46"/>
    <mergeCell ref="C45:R45"/>
    <mergeCell ref="J46:K46"/>
    <mergeCell ref="L46:M46"/>
    <mergeCell ref="N46:O46"/>
    <mergeCell ref="AF46:AG46"/>
    <mergeCell ref="AH46:AI46"/>
  </mergeCells>
  <printOptions horizontalCentered="1"/>
  <pageMargins left="0.25" right="0" top="0.83" bottom="0.42" header="0.24" footer="0.31"/>
  <pageSetup paperSize="5" scale="40" firstPageNumber="22" orientation="landscape" useFirstPageNumber="1" r:id="rId1"/>
  <headerFooter alignWithMargins="0">
    <oddHeader xml:space="preserve">&amp;L&amp;"Arial,Bold"&amp;22Table 5B-2:  FY2011-12 MFP Budget Letter 
Recovery School District (Allocations for School Boards and Type 5 Charters other than Orleans Parish) (March 2012)&amp;R
</oddHeader>
    <oddFooter>&amp;R&amp;12&amp;P</oddFooter>
  </headerFooter>
  <colBreaks count="1" manualBreakCount="1">
    <brk id="23" min="2" max="44" man="1"/>
  </colBreaks>
</worksheet>
</file>

<file path=xl/worksheets/sheet11.xml><?xml version="1.0" encoding="utf-8"?>
<worksheet xmlns="http://schemas.openxmlformats.org/spreadsheetml/2006/main" xmlns:r="http://schemas.openxmlformats.org/officeDocument/2006/relationships">
  <dimension ref="A1:AP104"/>
  <sheetViews>
    <sheetView view="pageBreakPreview" zoomScale="60" zoomScaleNormal="85" workbookViewId="0">
      <pane xSplit="1" topLeftCell="B1" activePane="topRight" state="frozen"/>
      <selection pane="topRight" activeCell="AR4" sqref="AR4"/>
    </sheetView>
  </sheetViews>
  <sheetFormatPr defaultRowHeight="28.5" customHeight="1"/>
  <cols>
    <col min="1" max="1" width="71.5703125" style="774" customWidth="1"/>
    <col min="2" max="3" width="16.28515625" style="774" customWidth="1"/>
    <col min="4" max="4" width="17.140625" style="817" customWidth="1"/>
    <col min="5" max="6" width="16.28515625" style="817" customWidth="1"/>
    <col min="7" max="12" width="17.7109375" style="774" customWidth="1"/>
    <col min="13" max="13" width="16.28515625" style="774" customWidth="1"/>
    <col min="14" max="14" width="18.5703125" style="774" customWidth="1"/>
    <col min="15" max="15" width="17.5703125" style="774" customWidth="1"/>
    <col min="16" max="16" width="17.5703125" style="774" bestFit="1" customWidth="1"/>
    <col min="17" max="20" width="17.5703125" style="774" customWidth="1"/>
    <col min="21" max="21" width="20" style="774" customWidth="1"/>
    <col min="22" max="22" width="20.5703125" style="774" bestFit="1" customWidth="1"/>
    <col min="23" max="23" width="17.42578125" style="774" customWidth="1"/>
    <col min="24" max="24" width="17.28515625" style="774" customWidth="1"/>
    <col min="25" max="26" width="15.5703125" style="774" customWidth="1"/>
    <col min="27" max="27" width="16" style="774" customWidth="1"/>
    <col min="28" max="28" width="16.28515625" style="774" bestFit="1" customWidth="1"/>
    <col min="29" max="29" width="16.5703125" style="774" customWidth="1"/>
    <col min="30" max="30" width="15.5703125" style="774" bestFit="1" customWidth="1"/>
    <col min="31" max="34" width="15.5703125" style="774" customWidth="1"/>
    <col min="35" max="35" width="18.85546875" style="774" customWidth="1"/>
    <col min="36" max="37" width="15.5703125" style="774" customWidth="1"/>
    <col min="38" max="38" width="13.85546875" style="774" customWidth="1"/>
    <col min="39" max="39" width="13.5703125" style="774" customWidth="1"/>
    <col min="40" max="40" width="16.28515625" style="1507" hidden="1" customWidth="1"/>
    <col min="41" max="41" width="17" style="1507" hidden="1" customWidth="1"/>
    <col min="42" max="42" width="17.140625" style="1507" hidden="1" customWidth="1"/>
    <col min="43" max="43" width="15.5703125" style="774" customWidth="1"/>
    <col min="44" max="44" width="16.7109375" style="774" customWidth="1"/>
    <col min="45" max="45" width="15.5703125" style="774" customWidth="1"/>
    <col min="46" max="16384" width="9.140625" style="774"/>
  </cols>
  <sheetData>
    <row r="1" spans="1:42" ht="38.25" customHeight="1">
      <c r="B1" s="775"/>
      <c r="C1" s="775"/>
      <c r="D1" s="775"/>
      <c r="E1" s="775"/>
      <c r="F1" s="775"/>
      <c r="G1" s="775"/>
      <c r="H1" s="775"/>
      <c r="I1" s="775"/>
      <c r="J1" s="775"/>
      <c r="K1" s="775"/>
      <c r="L1" s="775"/>
      <c r="M1" s="775"/>
    </row>
    <row r="2" spans="1:42" ht="69" customHeight="1">
      <c r="A2" s="776" t="s">
        <v>616</v>
      </c>
      <c r="B2" s="776"/>
      <c r="C2" s="776"/>
      <c r="D2" s="776"/>
      <c r="E2" s="776"/>
      <c r="F2" s="776"/>
      <c r="G2" s="776"/>
      <c r="H2" s="1724" t="s">
        <v>156</v>
      </c>
      <c r="I2" s="1725"/>
      <c r="J2" s="1726"/>
      <c r="K2" s="616"/>
      <c r="W2" s="1748" t="s">
        <v>544</v>
      </c>
      <c r="X2" s="1749"/>
      <c r="Y2" s="1749"/>
      <c r="Z2" s="1749"/>
      <c r="AA2" s="1750"/>
      <c r="AB2" s="777"/>
    </row>
    <row r="3" spans="1:42" ht="81.75" customHeight="1">
      <c r="A3" s="1759" t="s">
        <v>617</v>
      </c>
      <c r="B3" s="1761" t="s">
        <v>618</v>
      </c>
      <c r="C3" s="1761" t="s">
        <v>619</v>
      </c>
      <c r="D3" s="1757" t="s">
        <v>620</v>
      </c>
      <c r="E3" s="1762" t="s">
        <v>621</v>
      </c>
      <c r="F3" s="1734" t="s">
        <v>622</v>
      </c>
      <c r="G3" s="1757" t="s">
        <v>623</v>
      </c>
      <c r="H3" s="1652" t="s">
        <v>552</v>
      </c>
      <c r="I3" s="1652" t="s">
        <v>553</v>
      </c>
      <c r="J3" s="1652" t="s">
        <v>554</v>
      </c>
      <c r="K3" s="1652" t="s">
        <v>555</v>
      </c>
      <c r="L3" s="1688" t="s">
        <v>624</v>
      </c>
      <c r="M3" s="1757" t="s">
        <v>625</v>
      </c>
      <c r="N3" s="1752" t="s">
        <v>626</v>
      </c>
      <c r="O3" s="1757" t="s">
        <v>627</v>
      </c>
      <c r="P3" s="1713" t="s">
        <v>442</v>
      </c>
      <c r="Q3" s="1757" t="s">
        <v>628</v>
      </c>
      <c r="R3" s="1661" t="s">
        <v>444</v>
      </c>
      <c r="S3" s="1661" t="s">
        <v>445</v>
      </c>
      <c r="T3" s="1661" t="s">
        <v>629</v>
      </c>
      <c r="U3" s="1711" t="s">
        <v>630</v>
      </c>
      <c r="V3" s="1711" t="s">
        <v>565</v>
      </c>
      <c r="W3" s="1661" t="s">
        <v>566</v>
      </c>
      <c r="X3" s="1661" t="s">
        <v>567</v>
      </c>
      <c r="Y3" s="1661" t="s">
        <v>568</v>
      </c>
      <c r="Z3" s="1661" t="s">
        <v>569</v>
      </c>
      <c r="AA3" s="1661" t="s">
        <v>570</v>
      </c>
      <c r="AB3" s="1733" t="s">
        <v>571</v>
      </c>
      <c r="AC3" s="1756" t="s">
        <v>631</v>
      </c>
      <c r="AD3" s="1754" t="s">
        <v>632</v>
      </c>
      <c r="AE3" s="1752" t="s">
        <v>633</v>
      </c>
      <c r="AF3" s="1754" t="s">
        <v>634</v>
      </c>
      <c r="AG3" s="1754" t="s">
        <v>574</v>
      </c>
      <c r="AH3" s="1754" t="s">
        <v>445</v>
      </c>
      <c r="AI3" s="1754" t="s">
        <v>635</v>
      </c>
      <c r="AJ3" s="1731" t="s">
        <v>576</v>
      </c>
      <c r="AK3" s="1731" t="s">
        <v>577</v>
      </c>
    </row>
    <row r="4" spans="1:42" ht="90" customHeight="1">
      <c r="A4" s="1760"/>
      <c r="B4" s="1761"/>
      <c r="C4" s="1761"/>
      <c r="D4" s="1757"/>
      <c r="E4" s="1762"/>
      <c r="F4" s="1735"/>
      <c r="G4" s="1757"/>
      <c r="H4" s="1663"/>
      <c r="I4" s="1663"/>
      <c r="J4" s="1663"/>
      <c r="K4" s="1663"/>
      <c r="L4" s="1657"/>
      <c r="M4" s="1757"/>
      <c r="N4" s="1753"/>
      <c r="O4" s="1757"/>
      <c r="P4" s="1758"/>
      <c r="Q4" s="1757"/>
      <c r="R4" s="1715"/>
      <c r="S4" s="1715"/>
      <c r="T4" s="1715"/>
      <c r="U4" s="1712"/>
      <c r="V4" s="1712"/>
      <c r="W4" s="1663"/>
      <c r="X4" s="1663"/>
      <c r="Y4" s="1663"/>
      <c r="Z4" s="1663"/>
      <c r="AA4" s="1663"/>
      <c r="AB4" s="1733"/>
      <c r="AC4" s="1712"/>
      <c r="AD4" s="1755"/>
      <c r="AE4" s="1753"/>
      <c r="AF4" s="1755"/>
      <c r="AG4" s="1755"/>
      <c r="AH4" s="1755"/>
      <c r="AI4" s="1755"/>
      <c r="AJ4" s="1732"/>
      <c r="AK4" s="1732"/>
      <c r="AL4" s="778" t="s">
        <v>636</v>
      </c>
      <c r="AM4" s="778" t="s">
        <v>637</v>
      </c>
      <c r="AN4" s="1513" t="s">
        <v>638</v>
      </c>
    </row>
    <row r="5" spans="1:42" s="783" customFormat="1" ht="12.75">
      <c r="A5" s="779"/>
      <c r="B5" s="780">
        <v>1</v>
      </c>
      <c r="C5" s="781">
        <f>B5+1</f>
        <v>2</v>
      </c>
      <c r="D5" s="781">
        <f>C5+1</f>
        <v>3</v>
      </c>
      <c r="E5" s="781">
        <f>D5+1</f>
        <v>4</v>
      </c>
      <c r="F5" s="781">
        <f>E5+1</f>
        <v>5</v>
      </c>
      <c r="G5" s="781">
        <f t="shared" ref="G5:AK5" si="0">F5+1</f>
        <v>6</v>
      </c>
      <c r="H5" s="781">
        <f t="shared" si="0"/>
        <v>7</v>
      </c>
      <c r="I5" s="781">
        <f t="shared" si="0"/>
        <v>8</v>
      </c>
      <c r="J5" s="781">
        <f t="shared" si="0"/>
        <v>9</v>
      </c>
      <c r="K5" s="781">
        <f t="shared" si="0"/>
        <v>10</v>
      </c>
      <c r="L5" s="781">
        <f t="shared" si="0"/>
        <v>11</v>
      </c>
      <c r="M5" s="781">
        <f t="shared" si="0"/>
        <v>12</v>
      </c>
      <c r="N5" s="781">
        <f t="shared" si="0"/>
        <v>13</v>
      </c>
      <c r="O5" s="781">
        <f t="shared" si="0"/>
        <v>14</v>
      </c>
      <c r="P5" s="781">
        <f t="shared" si="0"/>
        <v>15</v>
      </c>
      <c r="Q5" s="781">
        <f t="shared" si="0"/>
        <v>16</v>
      </c>
      <c r="R5" s="781">
        <f t="shared" si="0"/>
        <v>17</v>
      </c>
      <c r="S5" s="781">
        <f t="shared" si="0"/>
        <v>18</v>
      </c>
      <c r="T5" s="781">
        <f t="shared" si="0"/>
        <v>19</v>
      </c>
      <c r="U5" s="781">
        <f t="shared" si="0"/>
        <v>20</v>
      </c>
      <c r="V5" s="781">
        <f t="shared" si="0"/>
        <v>21</v>
      </c>
      <c r="W5" s="781">
        <f t="shared" si="0"/>
        <v>22</v>
      </c>
      <c r="X5" s="781">
        <f t="shared" si="0"/>
        <v>23</v>
      </c>
      <c r="Y5" s="781">
        <f t="shared" si="0"/>
        <v>24</v>
      </c>
      <c r="Z5" s="781">
        <f t="shared" si="0"/>
        <v>25</v>
      </c>
      <c r="AA5" s="781">
        <f t="shared" si="0"/>
        <v>26</v>
      </c>
      <c r="AB5" s="781">
        <f t="shared" si="0"/>
        <v>27</v>
      </c>
      <c r="AC5" s="781">
        <f t="shared" si="0"/>
        <v>28</v>
      </c>
      <c r="AD5" s="781">
        <f t="shared" si="0"/>
        <v>29</v>
      </c>
      <c r="AE5" s="781">
        <f t="shared" si="0"/>
        <v>30</v>
      </c>
      <c r="AF5" s="781">
        <f t="shared" si="0"/>
        <v>31</v>
      </c>
      <c r="AG5" s="781">
        <f t="shared" si="0"/>
        <v>32</v>
      </c>
      <c r="AH5" s="781">
        <f t="shared" si="0"/>
        <v>33</v>
      </c>
      <c r="AI5" s="781">
        <f t="shared" si="0"/>
        <v>34</v>
      </c>
      <c r="AJ5" s="781">
        <f t="shared" si="0"/>
        <v>35</v>
      </c>
      <c r="AK5" s="781">
        <f t="shared" si="0"/>
        <v>36</v>
      </c>
      <c r="AL5" s="782"/>
      <c r="AM5" s="782"/>
      <c r="AN5" s="1514"/>
      <c r="AO5" s="1515"/>
      <c r="AP5" s="1515"/>
    </row>
    <row r="6" spans="1:42" s="795" customFormat="1" ht="30.75" customHeight="1">
      <c r="A6" s="784" t="s">
        <v>639</v>
      </c>
      <c r="B6" s="785">
        <v>164</v>
      </c>
      <c r="C6" s="786">
        <f>'Table 3 Levels 1&amp;2'!AL24</f>
        <v>3266.8023094143459</v>
      </c>
      <c r="D6" s="786">
        <f>B6*C6</f>
        <v>535755.57874395268</v>
      </c>
      <c r="E6" s="787">
        <f>'Table 5B2_RSD_LA'!F7</f>
        <v>801.47762416806802</v>
      </c>
      <c r="F6" s="787">
        <f>E6*B6</f>
        <v>131442.33036356315</v>
      </c>
      <c r="G6" s="787">
        <f>D6+F6</f>
        <v>667197.90910751582</v>
      </c>
      <c r="H6" s="787">
        <f>'October midyear adj'!K101</f>
        <v>162731.19734329655</v>
      </c>
      <c r="I6" s="787">
        <f>'February midyear adj '!K101</f>
        <v>-28477.959535076898</v>
      </c>
      <c r="J6" s="787">
        <f>H6+I6</f>
        <v>134253.23780821965</v>
      </c>
      <c r="K6" s="787">
        <f>SUM(G6:I6)</f>
        <v>801451.14691573556</v>
      </c>
      <c r="L6" s="787">
        <f>-(0.25%*K6)</f>
        <v>-2003.6278672893388</v>
      </c>
      <c r="M6" s="788">
        <f>K6+L6</f>
        <v>799447.51904844621</v>
      </c>
      <c r="N6" s="788">
        <v>-7939</v>
      </c>
      <c r="O6" s="789">
        <f>SUM(M6:N6)</f>
        <v>791508.51904844621</v>
      </c>
      <c r="P6" s="787">
        <f>'[10]Table 5C1 - Type 2s'!$Q$6</f>
        <v>-470</v>
      </c>
      <c r="Q6" s="789">
        <f>O6+P6</f>
        <v>791038.51904844621</v>
      </c>
      <c r="R6" s="789">
        <f>54799.2428612289+(73983)+67896+67896+67896+67896+67896+67803</f>
        <v>536065.24286122888</v>
      </c>
      <c r="S6" s="789">
        <f>Q6-R6</f>
        <v>254973.27618721733</v>
      </c>
      <c r="T6" s="789">
        <f>S6/4</f>
        <v>63743.319046804332</v>
      </c>
      <c r="U6" s="790">
        <f>'[11]FY2011-12_Final'!$K$24</f>
        <v>6246</v>
      </c>
      <c r="V6" s="791">
        <f>U6*B6</f>
        <v>1024344</v>
      </c>
      <c r="W6" s="792">
        <f>'October midyear adj'!E101</f>
        <v>40</v>
      </c>
      <c r="X6" s="791">
        <f>W6*U6</f>
        <v>249840</v>
      </c>
      <c r="Y6" s="792">
        <f>'February midyear adj '!E101</f>
        <v>-14</v>
      </c>
      <c r="Z6" s="791">
        <f>(U6*0.5)*Y6</f>
        <v>-43722</v>
      </c>
      <c r="AA6" s="791">
        <f>X6+Z6</f>
        <v>206118</v>
      </c>
      <c r="AB6" s="791">
        <f>V6+X6+Z6</f>
        <v>1230462</v>
      </c>
      <c r="AC6" s="791">
        <f>AB6*-0.25%</f>
        <v>-3076.1550000000002</v>
      </c>
      <c r="AD6" s="791">
        <f>SUM(AB6:AC6)</f>
        <v>1227385.845</v>
      </c>
      <c r="AE6" s="790">
        <v>-12544</v>
      </c>
      <c r="AF6" s="791">
        <f>SUM(AD6:AE6)</f>
        <v>1214841.845</v>
      </c>
      <c r="AG6" s="791">
        <f>84075.9966666667+(113519)+104177+104177+104177+104177+104177+104177</f>
        <v>822656.9966666667</v>
      </c>
      <c r="AH6" s="791">
        <f>AF6-AG6</f>
        <v>392184.84833333327</v>
      </c>
      <c r="AI6" s="791">
        <f>AH6/4</f>
        <v>98046.212083333317</v>
      </c>
      <c r="AJ6" s="793">
        <f>Q6+AF6</f>
        <v>2005880.3640484461</v>
      </c>
      <c r="AK6" s="793">
        <f>T6+AI6</f>
        <v>161789.53113013765</v>
      </c>
      <c r="AL6" s="794">
        <f>AC6</f>
        <v>-3076.1550000000002</v>
      </c>
      <c r="AM6" s="794">
        <v>2560</v>
      </c>
      <c r="AN6" s="1516">
        <f>SUM(AL6:AM6)</f>
        <v>-516.1550000000002</v>
      </c>
      <c r="AO6" s="1517"/>
      <c r="AP6" s="1517"/>
    </row>
    <row r="7" spans="1:42" s="795" customFormat="1" ht="30.75" customHeight="1">
      <c r="A7" s="784" t="s">
        <v>640</v>
      </c>
      <c r="B7" s="785">
        <v>0</v>
      </c>
      <c r="C7" s="786">
        <f>'Table 3 Levels 1&amp;2'!AL46</f>
        <v>3635.3042654739083</v>
      </c>
      <c r="D7" s="786">
        <f>B7*C7</f>
        <v>0</v>
      </c>
      <c r="E7" s="787">
        <f>'Table 4 Level 3'!P37</f>
        <v>559.77</v>
      </c>
      <c r="F7" s="787">
        <f>E7*B7</f>
        <v>0</v>
      </c>
      <c r="G7" s="787">
        <f>D7+F7</f>
        <v>0</v>
      </c>
      <c r="H7" s="787">
        <v>0</v>
      </c>
      <c r="I7" s="787">
        <f>'February midyear adj '!K102</f>
        <v>2989.943668775717</v>
      </c>
      <c r="J7" s="787">
        <f>H7+I7</f>
        <v>2989.943668775717</v>
      </c>
      <c r="K7" s="787">
        <f t="shared" ref="K7:K10" si="1">SUM(G7:I7)</f>
        <v>2989.943668775717</v>
      </c>
      <c r="L7" s="787">
        <f>-(0.25%*K7)</f>
        <v>-7.4748591719392925</v>
      </c>
      <c r="M7" s="788">
        <f>K7+L7</f>
        <v>2982.4688096037776</v>
      </c>
      <c r="N7" s="788"/>
      <c r="O7" s="789">
        <f>SUM(M7:N7)</f>
        <v>2982.4688096037776</v>
      </c>
      <c r="P7" s="787">
        <v>0</v>
      </c>
      <c r="Q7" s="789">
        <f>O7+P7</f>
        <v>2982.4688096037776</v>
      </c>
      <c r="R7" s="789">
        <v>0</v>
      </c>
      <c r="S7" s="789">
        <f>Q7-R7</f>
        <v>2982.4688096037776</v>
      </c>
      <c r="T7" s="789">
        <f>S7/4</f>
        <v>745.61720240094439</v>
      </c>
      <c r="U7" s="790">
        <f>'[11]FY2011-12_Final'!$K$39</f>
        <v>1875</v>
      </c>
      <c r="V7" s="791">
        <f>U7*B7</f>
        <v>0</v>
      </c>
      <c r="W7" s="792">
        <v>0</v>
      </c>
      <c r="X7" s="791">
        <f>W7*U7</f>
        <v>0</v>
      </c>
      <c r="Y7" s="792">
        <f>'February midyear adj '!E102</f>
        <v>1</v>
      </c>
      <c r="Z7" s="791">
        <f>(U7*0.5)*Y7</f>
        <v>937.5</v>
      </c>
      <c r="AA7" s="791">
        <f t="shared" ref="AA7:AA10" si="2">X7+Z7</f>
        <v>937.5</v>
      </c>
      <c r="AB7" s="791">
        <f t="shared" ref="AB7:AB10" si="3">V7+X7+Z7</f>
        <v>937.5</v>
      </c>
      <c r="AC7" s="791">
        <f t="shared" ref="AC7:AC10" si="4">AB7*-0.25%</f>
        <v>-2.34375</v>
      </c>
      <c r="AD7" s="791">
        <f t="shared" ref="AD7:AD10" si="5">SUM(AB7:AC7)</f>
        <v>935.15625</v>
      </c>
      <c r="AE7" s="790"/>
      <c r="AF7" s="791">
        <f>SUM(AD7:AE7)</f>
        <v>935.15625</v>
      </c>
      <c r="AG7" s="791">
        <v>0</v>
      </c>
      <c r="AH7" s="791">
        <f>AF7-AG7</f>
        <v>935.15625</v>
      </c>
      <c r="AI7" s="791">
        <f>AH7/4</f>
        <v>233.7890625</v>
      </c>
      <c r="AJ7" s="793">
        <f>Q7+AF7</f>
        <v>3917.6250596037776</v>
      </c>
      <c r="AK7" s="793">
        <f>T7+AI7</f>
        <v>979.40626490094439</v>
      </c>
      <c r="AL7" s="794">
        <f t="shared" ref="AL7:AL10" si="6">AC7</f>
        <v>-2.34375</v>
      </c>
      <c r="AM7" s="794">
        <v>0</v>
      </c>
      <c r="AN7" s="1516">
        <f t="shared" ref="AN7:AN10" si="7">SUM(AL7:AM7)</f>
        <v>-2.34375</v>
      </c>
      <c r="AO7" s="1517"/>
      <c r="AP7" s="1517"/>
    </row>
    <row r="8" spans="1:42" s="795" customFormat="1" ht="30.75" customHeight="1">
      <c r="A8" s="784" t="s">
        <v>641</v>
      </c>
      <c r="B8" s="785">
        <v>2</v>
      </c>
      <c r="C8" s="786">
        <f>'Table 3 Levels 1&amp;2'!AL74</f>
        <v>4997.7460750973305</v>
      </c>
      <c r="D8" s="786">
        <f>B8*C8</f>
        <v>9995.492150194661</v>
      </c>
      <c r="E8" s="787">
        <f>'Table 4 Level 3'!P72</f>
        <v>715.61</v>
      </c>
      <c r="F8" s="787">
        <f>E8*B8</f>
        <v>1431.22</v>
      </c>
      <c r="G8" s="787">
        <f>D8+F8</f>
        <v>11426.71215019466</v>
      </c>
      <c r="H8" s="787">
        <f>'October midyear adj'!K102</f>
        <v>0</v>
      </c>
      <c r="I8" s="787">
        <f>'February midyear adj '!K103</f>
        <v>0</v>
      </c>
      <c r="J8" s="787">
        <f t="shared" ref="J8:J10" si="8">H8+I8</f>
        <v>0</v>
      </c>
      <c r="K8" s="787">
        <f t="shared" si="1"/>
        <v>11426.71215019466</v>
      </c>
      <c r="L8" s="787">
        <f t="shared" ref="L8:L10" si="9">-(0.25%*K8)</f>
        <v>-28.566780375486651</v>
      </c>
      <c r="M8" s="788">
        <f t="shared" ref="M8:M10" si="10">K8+L8</f>
        <v>11398.145369819174</v>
      </c>
      <c r="N8" s="788"/>
      <c r="O8" s="789">
        <f>SUM(M8:N8)</f>
        <v>11398.145369819174</v>
      </c>
      <c r="P8" s="787">
        <v>0</v>
      </c>
      <c r="Q8" s="789">
        <f t="shared" ref="Q8:Q10" si="11">O8+P8</f>
        <v>11398.145369819174</v>
      </c>
      <c r="R8" s="789">
        <f>949.845447484931*8</f>
        <v>7598.7635798794481</v>
      </c>
      <c r="S8" s="789">
        <f t="shared" ref="S8:S10" si="12">Q8-R8</f>
        <v>3799.3817899397263</v>
      </c>
      <c r="T8" s="789">
        <f t="shared" ref="T8:T10" si="13">S8/4</f>
        <v>949.84544748493158</v>
      </c>
      <c r="U8" s="790">
        <f>'[11]FY2011-12_Final'!$K74</f>
        <v>4358</v>
      </c>
      <c r="V8" s="791">
        <f>U8*B8</f>
        <v>8716</v>
      </c>
      <c r="W8" s="792">
        <f>'October midyear adj'!E102</f>
        <v>0</v>
      </c>
      <c r="X8" s="791">
        <f>W8*U8</f>
        <v>0</v>
      </c>
      <c r="Y8" s="792">
        <f>'February midyear adj '!E103</f>
        <v>0</v>
      </c>
      <c r="Z8" s="791">
        <f>(U8*0.5)*Y8</f>
        <v>0</v>
      </c>
      <c r="AA8" s="791">
        <f t="shared" si="2"/>
        <v>0</v>
      </c>
      <c r="AB8" s="791">
        <f t="shared" si="3"/>
        <v>8716</v>
      </c>
      <c r="AC8" s="791">
        <f t="shared" si="4"/>
        <v>-21.79</v>
      </c>
      <c r="AD8" s="791">
        <f t="shared" si="5"/>
        <v>8694.2099999999991</v>
      </c>
      <c r="AE8" s="790"/>
      <c r="AF8" s="791">
        <f>SUM(AD8:AE8)</f>
        <v>8694.2099999999991</v>
      </c>
      <c r="AG8" s="791">
        <f>716.03875*8</f>
        <v>5728.31</v>
      </c>
      <c r="AH8" s="791">
        <f t="shared" ref="AH8:AH10" si="14">AF8-AG8</f>
        <v>2965.8999999999987</v>
      </c>
      <c r="AI8" s="791">
        <f t="shared" ref="AI8:AI10" si="15">AH8/4</f>
        <v>741.47499999999968</v>
      </c>
      <c r="AJ8" s="793">
        <f>Q8+AF8</f>
        <v>20092.355369819175</v>
      </c>
      <c r="AK8" s="793">
        <f>T8+AI8</f>
        <v>1691.3204474849313</v>
      </c>
      <c r="AL8" s="794">
        <f t="shared" si="6"/>
        <v>-21.79</v>
      </c>
      <c r="AM8" s="794">
        <v>22</v>
      </c>
      <c r="AN8" s="1516">
        <f t="shared" si="7"/>
        <v>0.21000000000000085</v>
      </c>
      <c r="AO8" s="1517"/>
      <c r="AP8" s="1517"/>
    </row>
    <row r="9" spans="1:42" s="795" customFormat="1" ht="30.75" customHeight="1">
      <c r="A9" s="784" t="s">
        <v>642</v>
      </c>
      <c r="B9" s="785">
        <v>5</v>
      </c>
      <c r="C9" s="786">
        <f>'Table 3 Levels 1&amp;2'!AL75</f>
        <v>5856.8933841064891</v>
      </c>
      <c r="D9" s="786">
        <f>B9*C9</f>
        <v>29284.466920532446</v>
      </c>
      <c r="E9" s="787">
        <f>'Table 4 Level 3'!P73</f>
        <v>798.7</v>
      </c>
      <c r="F9" s="787">
        <f>E9*B9</f>
        <v>3993.5</v>
      </c>
      <c r="G9" s="787">
        <f>D9+F9</f>
        <v>33277.966920532446</v>
      </c>
      <c r="H9" s="787">
        <f>'October midyear adj'!K103</f>
        <v>-19966.780152319465</v>
      </c>
      <c r="I9" s="787">
        <f>'February midyear adj '!K104</f>
        <v>3327.7966920532444</v>
      </c>
      <c r="J9" s="787">
        <f t="shared" si="8"/>
        <v>-16638.983460266219</v>
      </c>
      <c r="K9" s="787">
        <f t="shared" si="1"/>
        <v>16638.983460266227</v>
      </c>
      <c r="L9" s="787">
        <f t="shared" si="9"/>
        <v>-41.597458650665565</v>
      </c>
      <c r="M9" s="788">
        <f t="shared" si="10"/>
        <v>16597.38600161556</v>
      </c>
      <c r="N9" s="788"/>
      <c r="O9" s="789">
        <f>SUM(M9:N9)</f>
        <v>16597.38600161556</v>
      </c>
      <c r="P9" s="787">
        <v>0</v>
      </c>
      <c r="Q9" s="789">
        <f t="shared" si="11"/>
        <v>16597.38600161556</v>
      </c>
      <c r="R9" s="789">
        <f>2766.23100026926*8</f>
        <v>22129.848002154082</v>
      </c>
      <c r="S9" s="789">
        <f t="shared" si="12"/>
        <v>-5532.4620005385223</v>
      </c>
      <c r="T9" s="789">
        <f t="shared" si="13"/>
        <v>-1383.1155001346306</v>
      </c>
      <c r="U9" s="790">
        <f>'[11]FY2011-12_Final'!$K75</f>
        <v>2900</v>
      </c>
      <c r="V9" s="791">
        <f>U9*B9</f>
        <v>14500</v>
      </c>
      <c r="W9" s="792">
        <f>'October midyear adj'!E103</f>
        <v>-3</v>
      </c>
      <c r="X9" s="791">
        <f>W9*U9</f>
        <v>-8700</v>
      </c>
      <c r="Y9" s="792">
        <f>'February midyear adj '!E104</f>
        <v>1</v>
      </c>
      <c r="Z9" s="791">
        <f>(U9*0.5)*Y9</f>
        <v>1450</v>
      </c>
      <c r="AA9" s="791">
        <f t="shared" si="2"/>
        <v>-7250</v>
      </c>
      <c r="AB9" s="791">
        <f t="shared" si="3"/>
        <v>7250</v>
      </c>
      <c r="AC9" s="791">
        <f t="shared" si="4"/>
        <v>-18.125</v>
      </c>
      <c r="AD9" s="791">
        <f t="shared" si="5"/>
        <v>7231.875</v>
      </c>
      <c r="AE9" s="790"/>
      <c r="AF9" s="791">
        <f>SUM(AD9:AE9)</f>
        <v>7231.875</v>
      </c>
      <c r="AG9" s="791">
        <f>1051.53125*8</f>
        <v>8412.25</v>
      </c>
      <c r="AH9" s="791">
        <f t="shared" si="14"/>
        <v>-1180.375</v>
      </c>
      <c r="AI9" s="791">
        <f t="shared" si="15"/>
        <v>-295.09375</v>
      </c>
      <c r="AJ9" s="793">
        <f>Q9+AF9</f>
        <v>23829.26100161556</v>
      </c>
      <c r="AK9" s="793">
        <f>T9+AI9</f>
        <v>-1678.2092501346306</v>
      </c>
      <c r="AL9" s="794">
        <f t="shared" si="6"/>
        <v>-18.125</v>
      </c>
      <c r="AM9" s="794">
        <v>32</v>
      </c>
      <c r="AN9" s="1516">
        <f t="shared" si="7"/>
        <v>13.875</v>
      </c>
      <c r="AO9" s="1517"/>
      <c r="AP9" s="1517"/>
    </row>
    <row r="10" spans="1:42" s="795" customFormat="1" ht="30.75" customHeight="1">
      <c r="A10" s="784" t="s">
        <v>643</v>
      </c>
      <c r="B10" s="785">
        <v>2</v>
      </c>
      <c r="C10" s="786">
        <f>'Table 3 Levels 1&amp;2'!AL76</f>
        <v>5493.3241993293232</v>
      </c>
      <c r="D10" s="786">
        <f>B10*C10</f>
        <v>10986.648398658646</v>
      </c>
      <c r="E10" s="787">
        <f>'Table 4 Level 3'!P74</f>
        <v>705.67</v>
      </c>
      <c r="F10" s="787">
        <f>E10*B10</f>
        <v>1411.34</v>
      </c>
      <c r="G10" s="787">
        <f>D10+F10</f>
        <v>12397.988398658646</v>
      </c>
      <c r="H10" s="787">
        <f>'October midyear adj'!K104</f>
        <v>-12397.988398658646</v>
      </c>
      <c r="I10" s="787">
        <f>'February midyear adj '!K105</f>
        <v>6198.9941993293232</v>
      </c>
      <c r="J10" s="787">
        <f t="shared" si="8"/>
        <v>-6198.9941993293232</v>
      </c>
      <c r="K10" s="787">
        <f t="shared" si="1"/>
        <v>6198.9941993293232</v>
      </c>
      <c r="L10" s="787">
        <f t="shared" si="9"/>
        <v>-15.497485498323309</v>
      </c>
      <c r="M10" s="788">
        <f t="shared" si="10"/>
        <v>6183.4967138310003</v>
      </c>
      <c r="N10" s="788"/>
      <c r="O10" s="789">
        <f>SUM(M10:N10)</f>
        <v>6183.4967138310003</v>
      </c>
      <c r="P10" s="787">
        <v>0</v>
      </c>
      <c r="Q10" s="789">
        <f t="shared" si="11"/>
        <v>6183.4967138310003</v>
      </c>
      <c r="R10" s="789">
        <f>1030.5827856385*8</f>
        <v>8244.6622851079992</v>
      </c>
      <c r="S10" s="789">
        <f t="shared" si="12"/>
        <v>-2061.1655712769989</v>
      </c>
      <c r="T10" s="789">
        <f t="shared" si="13"/>
        <v>-515.29139281924972</v>
      </c>
      <c r="U10" s="790">
        <f>'[11]FY2011-12_Final'!$K76</f>
        <v>3312</v>
      </c>
      <c r="V10" s="791">
        <f>U10*B10</f>
        <v>6624</v>
      </c>
      <c r="W10" s="792">
        <f>'October midyear adj'!E104</f>
        <v>-2</v>
      </c>
      <c r="X10" s="791">
        <f>W10*U10</f>
        <v>-6624</v>
      </c>
      <c r="Y10" s="792">
        <f>'February midyear adj '!E105</f>
        <v>2</v>
      </c>
      <c r="Z10" s="791">
        <f>(U10*0.5)*Y10</f>
        <v>3312</v>
      </c>
      <c r="AA10" s="791">
        <f t="shared" si="2"/>
        <v>-3312</v>
      </c>
      <c r="AB10" s="791">
        <f t="shared" si="3"/>
        <v>3312</v>
      </c>
      <c r="AC10" s="791">
        <f t="shared" si="4"/>
        <v>-8.2799999999999994</v>
      </c>
      <c r="AD10" s="791">
        <f t="shared" si="5"/>
        <v>3303.72</v>
      </c>
      <c r="AE10" s="790"/>
      <c r="AF10" s="791">
        <f>SUM(AD10:AE10)</f>
        <v>3303.72</v>
      </c>
      <c r="AG10" s="791">
        <f>389.69*8</f>
        <v>3117.52</v>
      </c>
      <c r="AH10" s="791">
        <f t="shared" si="14"/>
        <v>186.19999999999982</v>
      </c>
      <c r="AI10" s="791">
        <f t="shared" si="15"/>
        <v>46.549999999999955</v>
      </c>
      <c r="AJ10" s="793">
        <f>Q10+AF10</f>
        <v>9487.2167138309997</v>
      </c>
      <c r="AK10" s="793">
        <f>T10+AI10</f>
        <v>-468.74139281924977</v>
      </c>
      <c r="AL10" s="794">
        <f t="shared" si="6"/>
        <v>-8.2799999999999994</v>
      </c>
      <c r="AM10" s="794">
        <v>12</v>
      </c>
      <c r="AN10" s="1516">
        <f t="shared" si="7"/>
        <v>3.7200000000000006</v>
      </c>
      <c r="AO10" s="1517"/>
      <c r="AP10" s="1517"/>
    </row>
    <row r="11" spans="1:42" s="795" customFormat="1" ht="30.75" customHeight="1">
      <c r="A11" s="796" t="s">
        <v>644</v>
      </c>
      <c r="B11" s="797">
        <f>SUM(B6:B10)</f>
        <v>173</v>
      </c>
      <c r="C11" s="798"/>
      <c r="D11" s="798">
        <f>SUM(D6:D10)</f>
        <v>586022.1862133384</v>
      </c>
      <c r="E11" s="798"/>
      <c r="F11" s="798">
        <f>SUM(F6:F10)</f>
        <v>138278.39036356314</v>
      </c>
      <c r="G11" s="799">
        <f t="shared" ref="G11:T11" si="16">SUM(G6:G10)</f>
        <v>724300.5765769016</v>
      </c>
      <c r="H11" s="799">
        <f t="shared" si="16"/>
        <v>130366.42879231843</v>
      </c>
      <c r="I11" s="799">
        <f t="shared" si="16"/>
        <v>-15961.224974918614</v>
      </c>
      <c r="J11" s="799">
        <f t="shared" si="16"/>
        <v>114405.20381739984</v>
      </c>
      <c r="K11" s="799">
        <f t="shared" si="16"/>
        <v>838705.78039430152</v>
      </c>
      <c r="L11" s="798">
        <f t="shared" si="16"/>
        <v>-2096.7644509857537</v>
      </c>
      <c r="M11" s="800">
        <f t="shared" si="16"/>
        <v>836609.0159433157</v>
      </c>
      <c r="N11" s="800">
        <f t="shared" si="16"/>
        <v>-7939</v>
      </c>
      <c r="O11" s="801">
        <f t="shared" si="16"/>
        <v>828670.0159433157</v>
      </c>
      <c r="P11" s="799">
        <f>SUM(P6:P10)</f>
        <v>-470</v>
      </c>
      <c r="Q11" s="801">
        <f>SUM(Q6:Q10)</f>
        <v>828200.0159433157</v>
      </c>
      <c r="R11" s="801">
        <f>SUM(R6:R10)</f>
        <v>574038.51672837033</v>
      </c>
      <c r="S11" s="801">
        <f>SUM(S6:S10)</f>
        <v>254161.49921494533</v>
      </c>
      <c r="T11" s="801">
        <f t="shared" si="16"/>
        <v>63540.374803736333</v>
      </c>
      <c r="U11" s="800">
        <f>'[9]FY2011-12_Final'!$K$76</f>
        <v>3312</v>
      </c>
      <c r="V11" s="799">
        <f t="shared" ref="V11:AK11" si="17">SUM(V6:V10)</f>
        <v>1054184</v>
      </c>
      <c r="W11" s="802">
        <f t="shared" si="17"/>
        <v>35</v>
      </c>
      <c r="X11" s="799">
        <f t="shared" si="17"/>
        <v>234516</v>
      </c>
      <c r="Y11" s="802">
        <f t="shared" si="17"/>
        <v>-10</v>
      </c>
      <c r="Z11" s="799">
        <f t="shared" si="17"/>
        <v>-38022.5</v>
      </c>
      <c r="AA11" s="799">
        <f t="shared" si="17"/>
        <v>196493.5</v>
      </c>
      <c r="AB11" s="799">
        <f t="shared" si="17"/>
        <v>1250677.5</v>
      </c>
      <c r="AC11" s="799">
        <f t="shared" si="17"/>
        <v>-3126.6937500000004</v>
      </c>
      <c r="AD11" s="799">
        <f t="shared" si="17"/>
        <v>1247550.8062499999</v>
      </c>
      <c r="AE11" s="799">
        <f t="shared" si="17"/>
        <v>-12544</v>
      </c>
      <c r="AF11" s="799">
        <f t="shared" si="17"/>
        <v>1235006.8062499999</v>
      </c>
      <c r="AG11" s="799">
        <f t="shared" si="17"/>
        <v>839915.07666666678</v>
      </c>
      <c r="AH11" s="799">
        <f t="shared" si="17"/>
        <v>395091.7295833333</v>
      </c>
      <c r="AI11" s="799">
        <f t="shared" si="17"/>
        <v>98772.932395833326</v>
      </c>
      <c r="AJ11" s="803">
        <f t="shared" si="17"/>
        <v>2063206.8221933155</v>
      </c>
      <c r="AK11" s="803">
        <f t="shared" si="17"/>
        <v>162313.30719956968</v>
      </c>
      <c r="AL11" s="794">
        <f>SUM(AL6:AL10)</f>
        <v>-3126.6937500000004</v>
      </c>
      <c r="AM11" s="794">
        <f t="shared" ref="AM11:AN11" si="18">SUM(AM6:AM10)</f>
        <v>2626</v>
      </c>
      <c r="AN11" s="1516">
        <f t="shared" si="18"/>
        <v>-500.69375000000014</v>
      </c>
      <c r="AO11" s="1517"/>
      <c r="AP11" s="1517"/>
    </row>
    <row r="12" spans="1:42" s="795" customFormat="1" ht="10.5" customHeight="1">
      <c r="A12" s="804"/>
      <c r="B12" s="805"/>
      <c r="C12" s="806"/>
      <c r="D12" s="806"/>
      <c r="E12" s="806"/>
      <c r="F12" s="806"/>
      <c r="G12" s="806"/>
      <c r="H12" s="806"/>
      <c r="I12" s="806"/>
      <c r="J12" s="806"/>
      <c r="K12" s="806"/>
      <c r="L12" s="806"/>
      <c r="M12" s="806"/>
      <c r="N12" s="806"/>
      <c r="O12" s="806"/>
      <c r="P12" s="806"/>
      <c r="Q12" s="806"/>
      <c r="R12" s="806"/>
      <c r="S12" s="806"/>
      <c r="T12" s="806"/>
      <c r="U12" s="806"/>
      <c r="V12" s="806"/>
      <c r="W12" s="806"/>
      <c r="X12" s="806"/>
      <c r="Y12" s="806"/>
      <c r="Z12" s="806"/>
      <c r="AA12" s="806"/>
      <c r="AB12" s="806"/>
      <c r="AC12" s="806"/>
      <c r="AD12" s="806"/>
      <c r="AE12" s="806"/>
      <c r="AF12" s="806"/>
      <c r="AG12" s="806"/>
      <c r="AH12" s="806"/>
      <c r="AI12" s="806"/>
      <c r="AJ12" s="806"/>
      <c r="AK12" s="807"/>
      <c r="AN12" s="1517"/>
      <c r="AO12" s="1517"/>
      <c r="AP12" s="1517"/>
    </row>
    <row r="13" spans="1:42" s="795" customFormat="1" ht="33.75" customHeight="1">
      <c r="A13" s="784" t="s">
        <v>645</v>
      </c>
      <c r="B13" s="785"/>
      <c r="C13" s="786"/>
      <c r="D13" s="786"/>
      <c r="E13" s="787"/>
      <c r="F13" s="787"/>
      <c r="G13" s="787"/>
      <c r="H13" s="787"/>
      <c r="I13" s="787"/>
      <c r="J13" s="787"/>
      <c r="K13" s="787"/>
      <c r="L13" s="787">
        <f>-L11</f>
        <v>2096.7644509857537</v>
      </c>
      <c r="M13" s="788">
        <f>L13</f>
        <v>2096.7644509857537</v>
      </c>
      <c r="N13" s="788"/>
      <c r="O13" s="789"/>
      <c r="P13" s="787"/>
      <c r="Q13" s="789"/>
      <c r="R13" s="789">
        <v>1811</v>
      </c>
      <c r="S13" s="789">
        <f>M13-R13</f>
        <v>285.76445098575368</v>
      </c>
      <c r="T13" s="789"/>
      <c r="U13" s="808"/>
      <c r="V13" s="791"/>
      <c r="W13" s="791"/>
      <c r="X13" s="791"/>
      <c r="Y13" s="791"/>
      <c r="Z13" s="791"/>
      <c r="AA13" s="791"/>
      <c r="AB13" s="791"/>
      <c r="AC13" s="791">
        <f>-AC11</f>
        <v>3126.6937500000004</v>
      </c>
      <c r="AD13" s="791">
        <f>AC13</f>
        <v>3126.6937500000004</v>
      </c>
      <c r="AE13" s="791"/>
      <c r="AF13" s="791"/>
      <c r="AG13" s="791">
        <v>2625</v>
      </c>
      <c r="AH13" s="791">
        <f>AD13-AG13</f>
        <v>501.69375000000036</v>
      </c>
      <c r="AI13" s="791"/>
      <c r="AJ13" s="793"/>
      <c r="AK13" s="793"/>
      <c r="AN13" s="1517"/>
      <c r="AO13" s="1517"/>
      <c r="AP13" s="1517"/>
    </row>
    <row r="14" spans="1:42" s="795" customFormat="1" ht="10.5" customHeight="1">
      <c r="A14" s="804"/>
      <c r="B14" s="805"/>
      <c r="C14" s="806"/>
      <c r="D14" s="806"/>
      <c r="E14" s="806"/>
      <c r="F14" s="806"/>
      <c r="G14" s="806"/>
      <c r="H14" s="806"/>
      <c r="I14" s="806"/>
      <c r="J14" s="806"/>
      <c r="K14" s="806"/>
      <c r="L14" s="806"/>
      <c r="M14" s="806"/>
      <c r="N14" s="806"/>
      <c r="O14" s="806"/>
      <c r="P14" s="806"/>
      <c r="Q14" s="806"/>
      <c r="R14" s="806"/>
      <c r="S14" s="806"/>
      <c r="T14" s="806"/>
      <c r="U14" s="806"/>
      <c r="V14" s="806"/>
      <c r="W14" s="806"/>
      <c r="X14" s="806"/>
      <c r="Y14" s="806"/>
      <c r="Z14" s="806"/>
      <c r="AA14" s="806"/>
      <c r="AB14" s="806"/>
      <c r="AC14" s="806"/>
      <c r="AD14" s="806"/>
      <c r="AE14" s="806"/>
      <c r="AF14" s="806"/>
      <c r="AG14" s="806"/>
      <c r="AH14" s="806"/>
      <c r="AI14" s="806"/>
      <c r="AJ14" s="806"/>
      <c r="AK14" s="809"/>
      <c r="AN14" s="1517"/>
      <c r="AO14" s="1517"/>
      <c r="AP14" s="1517"/>
    </row>
    <row r="15" spans="1:42" s="813" customFormat="1" ht="33.75" customHeight="1">
      <c r="A15" s="784" t="s">
        <v>646</v>
      </c>
      <c r="B15" s="785">
        <f t="shared" ref="B15:G15" si="19">SUM(B11:B13)</f>
        <v>173</v>
      </c>
      <c r="C15" s="786">
        <f t="shared" si="19"/>
        <v>0</v>
      </c>
      <c r="D15" s="786">
        <f t="shared" si="19"/>
        <v>586022.1862133384</v>
      </c>
      <c r="E15" s="799"/>
      <c r="F15" s="799">
        <f t="shared" si="19"/>
        <v>138278.39036356314</v>
      </c>
      <c r="G15" s="799">
        <f t="shared" si="19"/>
        <v>724300.5765769016</v>
      </c>
      <c r="H15" s="799"/>
      <c r="I15" s="799"/>
      <c r="J15" s="799"/>
      <c r="K15" s="799"/>
      <c r="L15" s="799">
        <f>L13+L11</f>
        <v>0</v>
      </c>
      <c r="M15" s="800">
        <f>M13+M11</f>
        <v>838705.7803943014</v>
      </c>
      <c r="N15" s="800"/>
      <c r="O15" s="801"/>
      <c r="P15" s="799"/>
      <c r="Q15" s="801"/>
      <c r="R15" s="801"/>
      <c r="S15" s="801"/>
      <c r="T15" s="801">
        <f>SUM(T11)</f>
        <v>63540.374803736333</v>
      </c>
      <c r="U15" s="810"/>
      <c r="V15" s="811">
        <f>SUM(V11:V13)</f>
        <v>1054184</v>
      </c>
      <c r="W15" s="811"/>
      <c r="X15" s="811"/>
      <c r="Y15" s="811"/>
      <c r="Z15" s="811"/>
      <c r="AA15" s="811"/>
      <c r="AB15" s="811"/>
      <c r="AC15" s="811"/>
      <c r="AD15" s="811">
        <f>SUM(AD11:AD13)</f>
        <v>1250677.5</v>
      </c>
      <c r="AE15" s="811"/>
      <c r="AF15" s="811"/>
      <c r="AG15" s="811"/>
      <c r="AH15" s="811"/>
      <c r="AI15" s="811"/>
      <c r="AJ15" s="812"/>
      <c r="AK15" s="812"/>
      <c r="AN15" s="1518"/>
      <c r="AO15" s="1518"/>
      <c r="AP15" s="1518"/>
    </row>
    <row r="16" spans="1:42" ht="12.75" customHeight="1">
      <c r="A16" s="814"/>
      <c r="B16" s="815"/>
      <c r="C16" s="816"/>
      <c r="D16" s="815"/>
      <c r="E16" s="815"/>
      <c r="F16" s="815"/>
      <c r="G16" s="817"/>
      <c r="H16" s="817"/>
      <c r="I16" s="817"/>
      <c r="J16" s="817"/>
      <c r="K16" s="817"/>
      <c r="L16" s="817"/>
      <c r="M16" s="817"/>
      <c r="N16" s="817"/>
      <c r="O16" s="817"/>
      <c r="P16" s="817"/>
      <c r="Q16" s="817"/>
      <c r="R16" s="817"/>
      <c r="S16" s="817"/>
      <c r="T16" s="817"/>
      <c r="U16" s="817"/>
    </row>
    <row r="17" spans="1:40" ht="43.5" customHeight="1">
      <c r="B17" s="1751"/>
      <c r="C17" s="1751"/>
      <c r="D17" s="1751"/>
      <c r="E17" s="1751"/>
      <c r="F17" s="1751"/>
      <c r="G17" s="1751"/>
      <c r="H17" s="1751"/>
      <c r="I17" s="1751"/>
      <c r="J17" s="1751"/>
      <c r="K17" s="1751"/>
      <c r="L17" s="1751"/>
      <c r="M17" s="1751"/>
      <c r="N17" s="1751"/>
      <c r="O17" s="1751"/>
      <c r="P17" s="1751"/>
      <c r="Q17" s="1751"/>
      <c r="R17" s="1751"/>
      <c r="S17" s="1751"/>
      <c r="T17" s="1751"/>
      <c r="U17" s="1751"/>
    </row>
    <row r="18" spans="1:40" ht="28.5" customHeight="1">
      <c r="B18" s="818"/>
    </row>
    <row r="19" spans="1:40" ht="12.75" customHeight="1">
      <c r="A19" s="814"/>
      <c r="B19" s="815"/>
      <c r="C19" s="816"/>
      <c r="D19" s="815"/>
      <c r="E19" s="815"/>
      <c r="F19" s="815"/>
      <c r="G19" s="817"/>
      <c r="H19" s="817"/>
      <c r="I19" s="817"/>
      <c r="J19" s="817"/>
      <c r="K19" s="817"/>
      <c r="L19" s="817"/>
      <c r="M19" s="817"/>
      <c r="N19" s="817"/>
      <c r="O19" s="817"/>
      <c r="P19" s="817"/>
      <c r="Q19" s="817"/>
      <c r="R19" s="817"/>
      <c r="S19" s="817"/>
      <c r="T19" s="817"/>
      <c r="U19" s="817"/>
    </row>
    <row r="20" spans="1:40" ht="66" customHeight="1">
      <c r="A20" s="819" t="s">
        <v>647</v>
      </c>
      <c r="B20" s="819"/>
      <c r="C20" s="819"/>
      <c r="D20" s="819"/>
      <c r="E20" s="819"/>
      <c r="F20" s="819"/>
      <c r="G20" s="819"/>
      <c r="H20" s="1724" t="s">
        <v>156</v>
      </c>
      <c r="I20" s="1725"/>
      <c r="J20" s="1726"/>
      <c r="K20" s="616"/>
      <c r="L20" s="817"/>
      <c r="M20" s="817"/>
      <c r="N20" s="817"/>
      <c r="O20" s="817"/>
      <c r="P20" s="817"/>
      <c r="W20" s="1748" t="s">
        <v>544</v>
      </c>
      <c r="X20" s="1749"/>
      <c r="Y20" s="1749"/>
      <c r="Z20" s="1749"/>
      <c r="AA20" s="1750"/>
      <c r="AB20" s="777"/>
    </row>
    <row r="21" spans="1:40" ht="75.75" customHeight="1">
      <c r="A21" s="1759" t="s">
        <v>648</v>
      </c>
      <c r="B21" s="1761" t="s">
        <v>618</v>
      </c>
      <c r="C21" s="1761" t="s">
        <v>619</v>
      </c>
      <c r="D21" s="1757" t="s">
        <v>620</v>
      </c>
      <c r="E21" s="1762" t="s">
        <v>621</v>
      </c>
      <c r="F21" s="1734" t="s">
        <v>622</v>
      </c>
      <c r="G21" s="1757" t="s">
        <v>623</v>
      </c>
      <c r="H21" s="1652" t="s">
        <v>552</v>
      </c>
      <c r="I21" s="1652" t="s">
        <v>553</v>
      </c>
      <c r="J21" s="1652" t="s">
        <v>554</v>
      </c>
      <c r="K21" s="1652" t="s">
        <v>555</v>
      </c>
      <c r="L21" s="1688" t="s">
        <v>649</v>
      </c>
      <c r="M21" s="1757" t="s">
        <v>625</v>
      </c>
      <c r="N21" s="1752" t="s">
        <v>650</v>
      </c>
      <c r="O21" s="1757" t="s">
        <v>651</v>
      </c>
      <c r="P21" s="1713" t="s">
        <v>442</v>
      </c>
      <c r="Q21" s="1757" t="s">
        <v>628</v>
      </c>
      <c r="R21" s="1661" t="s">
        <v>444</v>
      </c>
      <c r="S21" s="1661" t="s">
        <v>445</v>
      </c>
      <c r="T21" s="1661" t="s">
        <v>629</v>
      </c>
      <c r="U21" s="1711" t="s">
        <v>630</v>
      </c>
      <c r="V21" s="1711" t="s">
        <v>565</v>
      </c>
      <c r="W21" s="1661" t="s">
        <v>566</v>
      </c>
      <c r="X21" s="1661" t="s">
        <v>567</v>
      </c>
      <c r="Y21" s="1661" t="s">
        <v>568</v>
      </c>
      <c r="Z21" s="1661" t="s">
        <v>569</v>
      </c>
      <c r="AA21" s="1661" t="s">
        <v>570</v>
      </c>
      <c r="AB21" s="1733" t="s">
        <v>571</v>
      </c>
      <c r="AC21" s="1756" t="s">
        <v>631</v>
      </c>
      <c r="AD21" s="1754" t="s">
        <v>632</v>
      </c>
      <c r="AE21" s="1752" t="s">
        <v>633</v>
      </c>
      <c r="AF21" s="1754" t="s">
        <v>634</v>
      </c>
      <c r="AG21" s="1754" t="s">
        <v>574</v>
      </c>
      <c r="AH21" s="1754" t="s">
        <v>445</v>
      </c>
      <c r="AI21" s="1754" t="s">
        <v>635</v>
      </c>
      <c r="AJ21" s="1731" t="s">
        <v>576</v>
      </c>
      <c r="AK21" s="1731" t="s">
        <v>577</v>
      </c>
    </row>
    <row r="22" spans="1:40" ht="81" customHeight="1">
      <c r="A22" s="1760"/>
      <c r="B22" s="1761"/>
      <c r="C22" s="1761"/>
      <c r="D22" s="1757"/>
      <c r="E22" s="1762"/>
      <c r="F22" s="1735"/>
      <c r="G22" s="1757"/>
      <c r="H22" s="1663"/>
      <c r="I22" s="1663"/>
      <c r="J22" s="1663"/>
      <c r="K22" s="1663"/>
      <c r="L22" s="1657"/>
      <c r="M22" s="1757"/>
      <c r="N22" s="1753"/>
      <c r="O22" s="1757"/>
      <c r="P22" s="1758"/>
      <c r="Q22" s="1757"/>
      <c r="R22" s="1663"/>
      <c r="S22" s="1663"/>
      <c r="T22" s="1663"/>
      <c r="U22" s="1712"/>
      <c r="V22" s="1712"/>
      <c r="W22" s="1663"/>
      <c r="X22" s="1663"/>
      <c r="Y22" s="1663"/>
      <c r="Z22" s="1663"/>
      <c r="AA22" s="1663"/>
      <c r="AB22" s="1733"/>
      <c r="AC22" s="1712"/>
      <c r="AD22" s="1755"/>
      <c r="AE22" s="1753"/>
      <c r="AF22" s="1755"/>
      <c r="AG22" s="1755"/>
      <c r="AH22" s="1755"/>
      <c r="AI22" s="1755"/>
      <c r="AJ22" s="1732"/>
      <c r="AK22" s="1732"/>
      <c r="AL22" s="778" t="s">
        <v>636</v>
      </c>
      <c r="AM22" s="778" t="s">
        <v>637</v>
      </c>
      <c r="AN22" s="1513" t="s">
        <v>638</v>
      </c>
    </row>
    <row r="23" spans="1:40" ht="12.75" customHeight="1">
      <c r="A23" s="779"/>
      <c r="B23" s="780">
        <v>1</v>
      </c>
      <c r="C23" s="781">
        <f>B23+1</f>
        <v>2</v>
      </c>
      <c r="D23" s="781">
        <f>C23+1</f>
        <v>3</v>
      </c>
      <c r="E23" s="781">
        <f>D23+1</f>
        <v>4</v>
      </c>
      <c r="F23" s="781">
        <f>E23+1</f>
        <v>5</v>
      </c>
      <c r="G23" s="781">
        <f t="shared" ref="G23:AK23" si="20">F23+1</f>
        <v>6</v>
      </c>
      <c r="H23" s="781">
        <f t="shared" si="20"/>
        <v>7</v>
      </c>
      <c r="I23" s="781">
        <f t="shared" si="20"/>
        <v>8</v>
      </c>
      <c r="J23" s="781">
        <f t="shared" si="20"/>
        <v>9</v>
      </c>
      <c r="K23" s="781">
        <f t="shared" si="20"/>
        <v>10</v>
      </c>
      <c r="L23" s="781">
        <f t="shared" si="20"/>
        <v>11</v>
      </c>
      <c r="M23" s="781">
        <f t="shared" si="20"/>
        <v>12</v>
      </c>
      <c r="N23" s="781">
        <f t="shared" si="20"/>
        <v>13</v>
      </c>
      <c r="O23" s="781">
        <f t="shared" si="20"/>
        <v>14</v>
      </c>
      <c r="P23" s="781">
        <f t="shared" si="20"/>
        <v>15</v>
      </c>
      <c r="Q23" s="781">
        <f t="shared" si="20"/>
        <v>16</v>
      </c>
      <c r="R23" s="781">
        <f t="shared" si="20"/>
        <v>17</v>
      </c>
      <c r="S23" s="781">
        <f t="shared" si="20"/>
        <v>18</v>
      </c>
      <c r="T23" s="781">
        <f t="shared" si="20"/>
        <v>19</v>
      </c>
      <c r="U23" s="781">
        <f t="shared" si="20"/>
        <v>20</v>
      </c>
      <c r="V23" s="781">
        <f t="shared" si="20"/>
        <v>21</v>
      </c>
      <c r="W23" s="781">
        <f t="shared" si="20"/>
        <v>22</v>
      </c>
      <c r="X23" s="781">
        <f t="shared" si="20"/>
        <v>23</v>
      </c>
      <c r="Y23" s="781">
        <f t="shared" si="20"/>
        <v>24</v>
      </c>
      <c r="Z23" s="781">
        <f t="shared" si="20"/>
        <v>25</v>
      </c>
      <c r="AA23" s="781">
        <f t="shared" si="20"/>
        <v>26</v>
      </c>
      <c r="AB23" s="781">
        <f t="shared" si="20"/>
        <v>27</v>
      </c>
      <c r="AC23" s="781">
        <f t="shared" si="20"/>
        <v>28</v>
      </c>
      <c r="AD23" s="781">
        <f t="shared" si="20"/>
        <v>29</v>
      </c>
      <c r="AE23" s="781">
        <f t="shared" si="20"/>
        <v>30</v>
      </c>
      <c r="AF23" s="781">
        <f t="shared" si="20"/>
        <v>31</v>
      </c>
      <c r="AG23" s="781">
        <f t="shared" si="20"/>
        <v>32</v>
      </c>
      <c r="AH23" s="781">
        <f t="shared" si="20"/>
        <v>33</v>
      </c>
      <c r="AI23" s="781">
        <f t="shared" si="20"/>
        <v>34</v>
      </c>
      <c r="AJ23" s="781">
        <f t="shared" si="20"/>
        <v>35</v>
      </c>
      <c r="AK23" s="781">
        <f t="shared" si="20"/>
        <v>36</v>
      </c>
      <c r="AL23" s="820"/>
      <c r="AM23" s="820"/>
      <c r="AN23" s="1519"/>
    </row>
    <row r="24" spans="1:40" ht="31.5" customHeight="1">
      <c r="A24" s="784" t="s">
        <v>652</v>
      </c>
      <c r="B24" s="785">
        <v>292</v>
      </c>
      <c r="C24" s="786">
        <f>'Table 3 Levels 1&amp;2'!AL63</f>
        <v>5099.6603048621055</v>
      </c>
      <c r="D24" s="786">
        <f>B24*C24</f>
        <v>1489100.8090197349</v>
      </c>
      <c r="E24" s="787">
        <f>'Table 4 Level 3'!P61</f>
        <v>614.66000000000008</v>
      </c>
      <c r="F24" s="787">
        <f>E24*B24</f>
        <v>179480.72000000003</v>
      </c>
      <c r="G24" s="787">
        <f>D24+F24</f>
        <v>1668581.5290197348</v>
      </c>
      <c r="H24" s="787">
        <f>'October midyear adj'!K107</f>
        <v>382859.46042576106</v>
      </c>
      <c r="I24" s="787">
        <f>'February midyear adj '!K108</f>
        <v>2857.1601524310527</v>
      </c>
      <c r="J24" s="787">
        <f>H24+I24</f>
        <v>385716.62057819212</v>
      </c>
      <c r="K24" s="787">
        <f t="shared" ref="K24:K27" si="21">SUM(G24:I24)</f>
        <v>2054298.149597927</v>
      </c>
      <c r="L24" s="787">
        <f>-(0.25%*K24)</f>
        <v>-5135.7453739948178</v>
      </c>
      <c r="M24" s="788">
        <f>K24+L24</f>
        <v>2049162.4042239322</v>
      </c>
      <c r="N24" s="788">
        <v>1804</v>
      </c>
      <c r="O24" s="789">
        <f>SUM(M24:N24)</f>
        <v>2050966.4042239322</v>
      </c>
      <c r="P24" s="787">
        <f>'[10]Table 5C1 - Type 2s'!$Q$23</f>
        <v>-1150</v>
      </c>
      <c r="Q24" s="789">
        <f>O24+P24</f>
        <v>2049816.4042239322</v>
      </c>
      <c r="R24" s="789">
        <f>138851.172933099*2+170201+170201+170201+170201+170203+169971</f>
        <v>1298680.345866198</v>
      </c>
      <c r="S24" s="789">
        <f>Q24-R24</f>
        <v>751136.05835773423</v>
      </c>
      <c r="T24" s="789">
        <f>S24/4</f>
        <v>187784.01458943356</v>
      </c>
      <c r="U24" s="790">
        <f>'[11]FY2011-12_Final'!$K$63</f>
        <v>2905</v>
      </c>
      <c r="V24" s="791">
        <f>U24*B24</f>
        <v>848260</v>
      </c>
      <c r="W24" s="792">
        <f>'October midyear adj'!E107</f>
        <v>67</v>
      </c>
      <c r="X24" s="791">
        <f>W24*U24</f>
        <v>194635</v>
      </c>
      <c r="Y24" s="792">
        <f>'February midyear adj '!E108</f>
        <v>1</v>
      </c>
      <c r="Z24" s="791">
        <f>(U24*0.5)*Y24</f>
        <v>1452.5</v>
      </c>
      <c r="AA24" s="791">
        <f>X24+Z24</f>
        <v>196087.5</v>
      </c>
      <c r="AB24" s="791">
        <f t="shared" ref="AB24:AB26" si="22">V24+X24+Z24</f>
        <v>1044347.5</v>
      </c>
      <c r="AC24" s="791">
        <f>AB24*-0.25%</f>
        <v>-2610.8687500000001</v>
      </c>
      <c r="AD24" s="791">
        <f>SUM(AB24:AC24)</f>
        <v>1041736.63125</v>
      </c>
      <c r="AE24" s="790">
        <v>0</v>
      </c>
      <c r="AF24" s="791">
        <f>SUM(AD24:AE24)</f>
        <v>1041736.63125</v>
      </c>
      <c r="AG24" s="791">
        <f>69395.0775*2+85080+85080+85080+85080+85081+85081</f>
        <v>649272.15500000003</v>
      </c>
      <c r="AH24" s="791">
        <f>AF24-AG24</f>
        <v>392464.47624999995</v>
      </c>
      <c r="AI24" s="791">
        <f>AH24/4</f>
        <v>98116.119062499987</v>
      </c>
      <c r="AJ24" s="793">
        <f>Q24+AF24</f>
        <v>3091553.035473932</v>
      </c>
      <c r="AK24" s="793">
        <f>T24+AI24</f>
        <v>285900.13365193352</v>
      </c>
      <c r="AL24" s="820">
        <f>AC24</f>
        <v>-2610.8687500000001</v>
      </c>
      <c r="AM24" s="820">
        <v>2087</v>
      </c>
      <c r="AN24" s="1519">
        <f>SUM(AL24:AM24)</f>
        <v>-523.86875000000009</v>
      </c>
    </row>
    <row r="25" spans="1:40" ht="31.5" customHeight="1">
      <c r="A25" s="784" t="s">
        <v>653</v>
      </c>
      <c r="B25" s="785">
        <v>7</v>
      </c>
      <c r="C25" s="786">
        <f>'Table 3 Levels 1&amp;2'!AL44</f>
        <v>5472.0894180640744</v>
      </c>
      <c r="D25" s="786">
        <f>B25*C25</f>
        <v>38304.62592644852</v>
      </c>
      <c r="E25" s="787">
        <f>'Table 4 Level 3'!P42</f>
        <v>653.61</v>
      </c>
      <c r="F25" s="787">
        <f>E25*B25</f>
        <v>4575.2700000000004</v>
      </c>
      <c r="G25" s="787">
        <f>D25+F25</f>
        <v>42879.895926448517</v>
      </c>
      <c r="H25" s="787">
        <f>'October midyear adj'!K108</f>
        <v>-30628.497090320372</v>
      </c>
      <c r="I25" s="787">
        <f>'February midyear adj '!K109</f>
        <v>0</v>
      </c>
      <c r="J25" s="787">
        <f t="shared" ref="J25:J27" si="23">H25+I25</f>
        <v>-30628.497090320372</v>
      </c>
      <c r="K25" s="787">
        <f t="shared" si="21"/>
        <v>12251.398836128144</v>
      </c>
      <c r="L25" s="787">
        <f t="shared" ref="L25:L27" si="24">-(0.25%*K25)</f>
        <v>-30.628497090320362</v>
      </c>
      <c r="M25" s="788">
        <f t="shared" ref="M25:M27" si="25">K25+L25</f>
        <v>12220.770339037825</v>
      </c>
      <c r="N25" s="788"/>
      <c r="O25" s="789">
        <f>SUM(M25:N25)</f>
        <v>12220.770339037825</v>
      </c>
      <c r="P25" s="787">
        <v>0</v>
      </c>
      <c r="Q25" s="789">
        <f t="shared" ref="Q25:Q27" si="26">O25+P25</f>
        <v>12220.770339037825</v>
      </c>
      <c r="R25" s="789">
        <f>3564.39134888603*8</f>
        <v>28515.130791088239</v>
      </c>
      <c r="S25" s="789">
        <f t="shared" ref="S25:S27" si="27">Q25-R25</f>
        <v>-16294.360452050414</v>
      </c>
      <c r="T25" s="789">
        <f t="shared" ref="T25:T27" si="28">S25/4</f>
        <v>-4073.5901130126035</v>
      </c>
      <c r="U25" s="790">
        <f>'[11]FY2011-12_Final'!$K$44</f>
        <v>3030</v>
      </c>
      <c r="V25" s="791">
        <f>U25*B25</f>
        <v>21210</v>
      </c>
      <c r="W25" s="792">
        <f>'October midyear adj'!E108</f>
        <v>-5</v>
      </c>
      <c r="X25" s="791">
        <f>W25*U25</f>
        <v>-15150</v>
      </c>
      <c r="Y25" s="792">
        <f>'February midyear adj '!E109</f>
        <v>0</v>
      </c>
      <c r="Z25" s="791">
        <f>(U25*0.5)*Y25</f>
        <v>0</v>
      </c>
      <c r="AA25" s="791">
        <f t="shared" ref="AA25:AA26" si="29">X25+Z25</f>
        <v>-15150</v>
      </c>
      <c r="AB25" s="791">
        <f t="shared" si="22"/>
        <v>6060</v>
      </c>
      <c r="AC25" s="791">
        <f t="shared" ref="AC25:AC26" si="30">AB25*-0.25%</f>
        <v>-15.15</v>
      </c>
      <c r="AD25" s="791">
        <f t="shared" ref="AD25:AD26" si="31">SUM(AB25:AC25)</f>
        <v>6044.85</v>
      </c>
      <c r="AE25" s="790">
        <v>0</v>
      </c>
      <c r="AF25" s="791">
        <f>SUM(AD25:AE25)</f>
        <v>6044.85</v>
      </c>
      <c r="AG25" s="791">
        <f>1771.809375*8</f>
        <v>14174.475</v>
      </c>
      <c r="AH25" s="791">
        <f t="shared" ref="AH25:AH27" si="32">AF25-AG25</f>
        <v>-8129.625</v>
      </c>
      <c r="AI25" s="791">
        <f t="shared" ref="AI25:AI27" si="33">AH25/4</f>
        <v>-2032.40625</v>
      </c>
      <c r="AJ25" s="793">
        <f>Q25+AF25</f>
        <v>18265.620339037825</v>
      </c>
      <c r="AK25" s="793">
        <f>T25+AI25</f>
        <v>-6105.996363012604</v>
      </c>
      <c r="AL25" s="820">
        <f t="shared" ref="AL25:AL26" si="34">AC25</f>
        <v>-15.15</v>
      </c>
      <c r="AM25" s="820">
        <v>53</v>
      </c>
      <c r="AN25" s="1519">
        <f t="shared" ref="AN25:AN26" si="35">SUM(AL25:AM25)</f>
        <v>37.85</v>
      </c>
    </row>
    <row r="26" spans="1:40" ht="31.5" customHeight="1">
      <c r="A26" s="784" t="s">
        <v>654</v>
      </c>
      <c r="B26" s="785">
        <v>5</v>
      </c>
      <c r="C26" s="786">
        <f>'Table 3 Levels 1&amp;2'!AL38</f>
        <v>4232.8839525109115</v>
      </c>
      <c r="D26" s="786">
        <f>B26*C26</f>
        <v>21164.419762554557</v>
      </c>
      <c r="E26" s="787">
        <f>'Table 4 Level 3'!P36</f>
        <v>620.83000000000004</v>
      </c>
      <c r="F26" s="787">
        <f>E26*B26</f>
        <v>3104.15</v>
      </c>
      <c r="G26" s="787">
        <f>D26+F26</f>
        <v>24268.569762554558</v>
      </c>
      <c r="H26" s="787">
        <f>'October midyear adj'!K109</f>
        <v>-14561.141857532733</v>
      </c>
      <c r="I26" s="787">
        <f>'February midyear adj '!K110</f>
        <v>-2426.8569762554557</v>
      </c>
      <c r="J26" s="787">
        <f t="shared" si="23"/>
        <v>-16987.998833788188</v>
      </c>
      <c r="K26" s="787">
        <f t="shared" si="21"/>
        <v>7280.5709287663685</v>
      </c>
      <c r="L26" s="787">
        <f t="shared" si="24"/>
        <v>-18.201427321915922</v>
      </c>
      <c r="M26" s="788">
        <f t="shared" si="25"/>
        <v>7262.3695014444529</v>
      </c>
      <c r="N26" s="788">
        <v>0</v>
      </c>
      <c r="O26" s="789">
        <f>SUM(M26:N26)</f>
        <v>7262.3695014444529</v>
      </c>
      <c r="P26" s="787">
        <v>0</v>
      </c>
      <c r="Q26" s="789">
        <f t="shared" si="26"/>
        <v>7262.3695014444529</v>
      </c>
      <c r="R26" s="789">
        <f>2017.32486151235*8</f>
        <v>16138.5988920988</v>
      </c>
      <c r="S26" s="789">
        <f t="shared" si="27"/>
        <v>-8876.2293906543473</v>
      </c>
      <c r="T26" s="789">
        <f t="shared" si="28"/>
        <v>-2219.0573476635868</v>
      </c>
      <c r="U26" s="790">
        <f>'[11]FY2011-12_Final'!$K$38</f>
        <v>4677</v>
      </c>
      <c r="V26" s="791">
        <f>U26*B26</f>
        <v>23385</v>
      </c>
      <c r="W26" s="792">
        <f>'October midyear adj'!E109</f>
        <v>-3</v>
      </c>
      <c r="X26" s="791">
        <f>W26*U26</f>
        <v>-14031</v>
      </c>
      <c r="Y26" s="792">
        <f>'February midyear adj '!E110</f>
        <v>-1</v>
      </c>
      <c r="Z26" s="791">
        <f>(U26*0.5)*Y26</f>
        <v>-2338.5</v>
      </c>
      <c r="AA26" s="791">
        <f t="shared" si="29"/>
        <v>-16369.5</v>
      </c>
      <c r="AB26" s="791">
        <f t="shared" si="22"/>
        <v>7015.5</v>
      </c>
      <c r="AC26" s="791">
        <f t="shared" si="30"/>
        <v>-17.53875</v>
      </c>
      <c r="AD26" s="791">
        <f t="shared" si="31"/>
        <v>6997.9612500000003</v>
      </c>
      <c r="AE26" s="790">
        <v>0</v>
      </c>
      <c r="AF26" s="791">
        <f>SUM(AD26:AE26)</f>
        <v>6997.9612500000003</v>
      </c>
      <c r="AG26" s="791">
        <f>1894.003125*8</f>
        <v>15152.025</v>
      </c>
      <c r="AH26" s="791">
        <f t="shared" si="32"/>
        <v>-8154.0637499999993</v>
      </c>
      <c r="AI26" s="791">
        <f t="shared" si="33"/>
        <v>-2038.5159374999998</v>
      </c>
      <c r="AJ26" s="793">
        <f>Q26+AF26</f>
        <v>14260.330751444453</v>
      </c>
      <c r="AK26" s="793">
        <f>T26+AI26</f>
        <v>-4257.5732851635867</v>
      </c>
      <c r="AL26" s="820">
        <f t="shared" si="34"/>
        <v>-17.53875</v>
      </c>
      <c r="AM26" s="820">
        <v>57</v>
      </c>
      <c r="AN26" s="1519">
        <f t="shared" si="35"/>
        <v>39.46125</v>
      </c>
    </row>
    <row r="27" spans="1:40" ht="31.5" customHeight="1">
      <c r="A27" s="784" t="s">
        <v>655</v>
      </c>
      <c r="B27" s="785">
        <v>1</v>
      </c>
      <c r="C27" s="786">
        <f>C24</f>
        <v>5099.6603048621055</v>
      </c>
      <c r="D27" s="786">
        <f>B27*C27</f>
        <v>5099.6603048621055</v>
      </c>
      <c r="E27" s="787">
        <f>E24</f>
        <v>614.66000000000008</v>
      </c>
      <c r="F27" s="787">
        <f>E27*B27</f>
        <v>614.66000000000008</v>
      </c>
      <c r="G27" s="787">
        <f>D27+F27</f>
        <v>5714.3203048621053</v>
      </c>
      <c r="H27" s="787">
        <f>'October midyear adj'!K110</f>
        <v>0</v>
      </c>
      <c r="I27" s="787">
        <f>'February midyear adj '!K111</f>
        <v>0</v>
      </c>
      <c r="J27" s="787">
        <f t="shared" si="23"/>
        <v>0</v>
      </c>
      <c r="K27" s="787">
        <f t="shared" si="21"/>
        <v>5714.3203048621053</v>
      </c>
      <c r="L27" s="787">
        <f t="shared" si="24"/>
        <v>-14.285800762155263</v>
      </c>
      <c r="M27" s="788">
        <f t="shared" si="25"/>
        <v>5700.03450409995</v>
      </c>
      <c r="N27" s="788">
        <v>0</v>
      </c>
      <c r="O27" s="789">
        <f>SUM(M27:N27)</f>
        <v>5700.03450409995</v>
      </c>
      <c r="P27" s="787">
        <v>0</v>
      </c>
      <c r="Q27" s="789">
        <f t="shared" si="26"/>
        <v>5700.03450409995</v>
      </c>
      <c r="R27" s="789">
        <f>475.002875341663*8</f>
        <v>3800.0230027333041</v>
      </c>
      <c r="S27" s="789">
        <f t="shared" si="27"/>
        <v>1900.0115013666459</v>
      </c>
      <c r="T27" s="789">
        <f t="shared" si="28"/>
        <v>475.00287534166148</v>
      </c>
      <c r="U27" s="790" t="s">
        <v>580</v>
      </c>
      <c r="V27" s="791" t="s">
        <v>580</v>
      </c>
      <c r="W27" s="792" t="s">
        <v>580</v>
      </c>
      <c r="X27" s="791" t="s">
        <v>580</v>
      </c>
      <c r="Y27" s="792">
        <f>'February midyear adj '!E111</f>
        <v>0</v>
      </c>
      <c r="Z27" s="791" t="s">
        <v>580</v>
      </c>
      <c r="AA27" s="791" t="s">
        <v>580</v>
      </c>
      <c r="AB27" s="791" t="s">
        <v>580</v>
      </c>
      <c r="AC27" s="791" t="s">
        <v>580</v>
      </c>
      <c r="AD27" s="791" t="s">
        <v>580</v>
      </c>
      <c r="AE27" s="790" t="s">
        <v>580</v>
      </c>
      <c r="AF27" s="791">
        <v>0</v>
      </c>
      <c r="AG27" s="791">
        <v>0</v>
      </c>
      <c r="AH27" s="791">
        <f t="shared" si="32"/>
        <v>0</v>
      </c>
      <c r="AI27" s="791">
        <f t="shared" si="33"/>
        <v>0</v>
      </c>
      <c r="AJ27" s="793">
        <f>Q27+AF27</f>
        <v>5700.03450409995</v>
      </c>
      <c r="AK27" s="793">
        <f>T27+AI27</f>
        <v>475.00287534166148</v>
      </c>
      <c r="AL27" s="820"/>
      <c r="AM27" s="820"/>
      <c r="AN27" s="1519"/>
    </row>
    <row r="28" spans="1:40" ht="31.5" customHeight="1">
      <c r="A28" s="796" t="s">
        <v>656</v>
      </c>
      <c r="B28" s="797">
        <f>SUM(B24:B27)</f>
        <v>305</v>
      </c>
      <c r="C28" s="798"/>
      <c r="D28" s="798">
        <f>SUM(D24:D27)</f>
        <v>1553669.5150136</v>
      </c>
      <c r="E28" s="798"/>
      <c r="F28" s="798">
        <f t="shared" ref="F28:T28" si="36">SUM(F24:F27)</f>
        <v>187774.80000000002</v>
      </c>
      <c r="G28" s="799">
        <f t="shared" si="36"/>
        <v>1741444.3150135998</v>
      </c>
      <c r="H28" s="799">
        <f>SUM(H24:H27)</f>
        <v>337669.82147790794</v>
      </c>
      <c r="I28" s="799">
        <f>SUM(I24:I27)</f>
        <v>430.30317617559695</v>
      </c>
      <c r="J28" s="799">
        <f>SUM(J24:J27)</f>
        <v>338100.12465408351</v>
      </c>
      <c r="K28" s="799">
        <f>SUM(K24:K27)</f>
        <v>2079544.4396676836</v>
      </c>
      <c r="L28" s="798">
        <f t="shared" si="36"/>
        <v>-5198.8610991692094</v>
      </c>
      <c r="M28" s="800">
        <f t="shared" si="36"/>
        <v>2074345.5785685144</v>
      </c>
      <c r="N28" s="800">
        <f t="shared" si="36"/>
        <v>1804</v>
      </c>
      <c r="O28" s="801">
        <f t="shared" si="36"/>
        <v>2076149.5785685144</v>
      </c>
      <c r="P28" s="799">
        <f>SUM(P24:P27)</f>
        <v>-1150</v>
      </c>
      <c r="Q28" s="801">
        <f>SUM(Q24:Q27)</f>
        <v>2074999.5785685144</v>
      </c>
      <c r="R28" s="801">
        <f>SUM(R24:R27)</f>
        <v>1347134.0985521183</v>
      </c>
      <c r="S28" s="801">
        <f>SUM(S24:S27)</f>
        <v>727865.48001639603</v>
      </c>
      <c r="T28" s="801">
        <f t="shared" si="36"/>
        <v>181966.37000409901</v>
      </c>
      <c r="U28" s="800"/>
      <c r="V28" s="799">
        <f t="shared" ref="V28:AK28" si="37">SUM(V24:V27)</f>
        <v>892855</v>
      </c>
      <c r="W28" s="802">
        <f t="shared" si="37"/>
        <v>59</v>
      </c>
      <c r="X28" s="799">
        <f t="shared" si="37"/>
        <v>165454</v>
      </c>
      <c r="Y28" s="802">
        <f t="shared" si="37"/>
        <v>0</v>
      </c>
      <c r="Z28" s="799">
        <f t="shared" si="37"/>
        <v>-886</v>
      </c>
      <c r="AA28" s="799">
        <f t="shared" si="37"/>
        <v>164568</v>
      </c>
      <c r="AB28" s="799">
        <f t="shared" si="37"/>
        <v>1057423</v>
      </c>
      <c r="AC28" s="799">
        <f t="shared" si="37"/>
        <v>-2643.5575000000003</v>
      </c>
      <c r="AD28" s="799">
        <f t="shared" si="37"/>
        <v>1054779.4424999999</v>
      </c>
      <c r="AE28" s="799">
        <f t="shared" si="37"/>
        <v>0</v>
      </c>
      <c r="AF28" s="799">
        <f t="shared" si="37"/>
        <v>1054779.4424999999</v>
      </c>
      <c r="AG28" s="799">
        <f>SUM(AG24:AG27)</f>
        <v>678598.65500000003</v>
      </c>
      <c r="AH28" s="799">
        <f>SUM(AH24:AH27)</f>
        <v>376180.78749999998</v>
      </c>
      <c r="AI28" s="799">
        <f t="shared" si="37"/>
        <v>94045.196874999994</v>
      </c>
      <c r="AJ28" s="821">
        <f t="shared" si="37"/>
        <v>3129779.0210685143</v>
      </c>
      <c r="AK28" s="821">
        <f t="shared" si="37"/>
        <v>276011.566879099</v>
      </c>
      <c r="AL28" s="820">
        <f>SUM(AL24:AL27)</f>
        <v>-2643.5575000000003</v>
      </c>
      <c r="AM28" s="820">
        <f>SUM(AM24:AM27)</f>
        <v>2197</v>
      </c>
      <c r="AN28" s="1519">
        <f>SUM(AN24:AN27)</f>
        <v>-446.55750000000006</v>
      </c>
    </row>
    <row r="29" spans="1:40" ht="10.5" customHeight="1">
      <c r="A29" s="804"/>
      <c r="B29" s="805"/>
      <c r="C29" s="806"/>
      <c r="D29" s="806"/>
      <c r="E29" s="806"/>
      <c r="F29" s="806"/>
      <c r="G29" s="806"/>
      <c r="H29" s="806"/>
      <c r="I29" s="806"/>
      <c r="J29" s="806"/>
      <c r="K29" s="806"/>
      <c r="L29" s="806"/>
      <c r="M29" s="806"/>
      <c r="N29" s="806"/>
      <c r="O29" s="806"/>
      <c r="P29" s="806"/>
      <c r="Q29" s="806"/>
      <c r="R29" s="806"/>
      <c r="S29" s="806"/>
      <c r="T29" s="806"/>
      <c r="U29" s="806"/>
      <c r="V29" s="806"/>
      <c r="W29" s="806"/>
      <c r="X29" s="806"/>
      <c r="Y29" s="806"/>
      <c r="Z29" s="806"/>
      <c r="AA29" s="806"/>
      <c r="AB29" s="806"/>
      <c r="AC29" s="806"/>
      <c r="AD29" s="806"/>
      <c r="AE29" s="806"/>
      <c r="AF29" s="806"/>
      <c r="AG29" s="806"/>
      <c r="AH29" s="806"/>
      <c r="AI29" s="806"/>
      <c r="AJ29" s="806"/>
      <c r="AK29" s="807"/>
      <c r="AL29" s="822"/>
      <c r="AM29" s="822"/>
      <c r="AN29" s="1519"/>
    </row>
    <row r="30" spans="1:40" ht="33.75" customHeight="1">
      <c r="A30" s="784" t="s">
        <v>657</v>
      </c>
      <c r="B30" s="785"/>
      <c r="C30" s="786"/>
      <c r="D30" s="786"/>
      <c r="E30" s="787"/>
      <c r="F30" s="787"/>
      <c r="G30" s="787"/>
      <c r="H30" s="787"/>
      <c r="I30" s="787"/>
      <c r="J30" s="787"/>
      <c r="K30" s="787"/>
      <c r="L30" s="787">
        <f>-L28</f>
        <v>5198.8610991692094</v>
      </c>
      <c r="M30" s="788">
        <f>L30</f>
        <v>5198.8610991692094</v>
      </c>
      <c r="N30" s="788"/>
      <c r="O30" s="789"/>
      <c r="P30" s="787"/>
      <c r="Q30" s="789"/>
      <c r="R30" s="789">
        <v>4354</v>
      </c>
      <c r="S30" s="789">
        <f>M30-R30</f>
        <v>844.86109916920941</v>
      </c>
      <c r="T30" s="789"/>
      <c r="U30" s="808"/>
      <c r="V30" s="791"/>
      <c r="W30" s="791"/>
      <c r="X30" s="791"/>
      <c r="Y30" s="791"/>
      <c r="Z30" s="791"/>
      <c r="AA30" s="791"/>
      <c r="AB30" s="791"/>
      <c r="AC30" s="791">
        <f>-AC28</f>
        <v>2643.5575000000003</v>
      </c>
      <c r="AD30" s="791">
        <f>AC30</f>
        <v>2643.5575000000003</v>
      </c>
      <c r="AE30" s="791"/>
      <c r="AF30" s="791"/>
      <c r="AG30" s="791">
        <v>2197</v>
      </c>
      <c r="AH30" s="791">
        <f>AD30-AG30</f>
        <v>446.55750000000035</v>
      </c>
      <c r="AI30" s="791"/>
      <c r="AJ30" s="793"/>
      <c r="AK30" s="793"/>
    </row>
    <row r="31" spans="1:40" ht="10.5" customHeight="1">
      <c r="A31" s="804"/>
      <c r="B31" s="805"/>
      <c r="C31" s="806"/>
      <c r="D31" s="806"/>
      <c r="E31" s="806"/>
      <c r="F31" s="806"/>
      <c r="G31" s="806"/>
      <c r="H31" s="806"/>
      <c r="I31" s="806"/>
      <c r="J31" s="806"/>
      <c r="K31" s="806"/>
      <c r="L31" s="806"/>
      <c r="M31" s="806"/>
      <c r="N31" s="806"/>
      <c r="O31" s="806"/>
      <c r="P31" s="806"/>
      <c r="Q31" s="806"/>
      <c r="R31" s="806"/>
      <c r="S31" s="806"/>
      <c r="T31" s="806"/>
      <c r="U31" s="806"/>
      <c r="V31" s="806"/>
      <c r="W31" s="806"/>
      <c r="X31" s="806"/>
      <c r="Y31" s="806"/>
      <c r="Z31" s="806"/>
      <c r="AA31" s="806"/>
      <c r="AB31" s="806"/>
      <c r="AC31" s="806"/>
      <c r="AD31" s="806"/>
      <c r="AE31" s="806"/>
      <c r="AF31" s="806"/>
      <c r="AG31" s="806"/>
      <c r="AH31" s="806"/>
      <c r="AI31" s="806"/>
      <c r="AJ31" s="806"/>
      <c r="AK31" s="823"/>
    </row>
    <row r="32" spans="1:40" ht="35.25" customHeight="1">
      <c r="A32" s="784" t="s">
        <v>658</v>
      </c>
      <c r="B32" s="785">
        <f t="shared" ref="B32:G32" si="38">SUM(B28:B30)</f>
        <v>305</v>
      </c>
      <c r="C32" s="786">
        <f t="shared" si="38"/>
        <v>0</v>
      </c>
      <c r="D32" s="786">
        <f t="shared" si="38"/>
        <v>1553669.5150136</v>
      </c>
      <c r="E32" s="799"/>
      <c r="F32" s="799">
        <f t="shared" si="38"/>
        <v>187774.80000000002</v>
      </c>
      <c r="G32" s="799">
        <f t="shared" si="38"/>
        <v>1741444.3150135998</v>
      </c>
      <c r="H32" s="799"/>
      <c r="I32" s="799"/>
      <c r="J32" s="799"/>
      <c r="K32" s="799"/>
      <c r="L32" s="799">
        <f>L30+L28</f>
        <v>0</v>
      </c>
      <c r="M32" s="800">
        <f>M30+M28</f>
        <v>2079544.4396676836</v>
      </c>
      <c r="N32" s="800"/>
      <c r="O32" s="801"/>
      <c r="P32" s="799"/>
      <c r="Q32" s="801"/>
      <c r="R32" s="801"/>
      <c r="S32" s="801"/>
      <c r="T32" s="801"/>
      <c r="U32" s="810"/>
      <c r="V32" s="811">
        <f>SUM(V28:V29)</f>
        <v>892855</v>
      </c>
      <c r="W32" s="811"/>
      <c r="X32" s="811"/>
      <c r="Y32" s="811"/>
      <c r="Z32" s="811"/>
      <c r="AA32" s="811"/>
      <c r="AB32" s="811"/>
      <c r="AC32" s="811">
        <f>SUM(AC28:AC29)</f>
        <v>-2643.5575000000003</v>
      </c>
      <c r="AD32" s="811">
        <f>SUM(AD28:AD30)</f>
        <v>1057423</v>
      </c>
      <c r="AE32" s="811"/>
      <c r="AF32" s="811"/>
      <c r="AG32" s="811"/>
      <c r="AH32" s="811"/>
      <c r="AI32" s="811"/>
      <c r="AJ32" s="812"/>
      <c r="AK32" s="812"/>
    </row>
    <row r="33" spans="1:40" ht="12.75" customHeight="1">
      <c r="A33" s="814"/>
      <c r="B33" s="815"/>
      <c r="C33" s="816"/>
      <c r="D33" s="815"/>
      <c r="E33" s="815"/>
      <c r="F33" s="815"/>
      <c r="G33" s="817"/>
      <c r="H33" s="817"/>
      <c r="I33" s="817"/>
      <c r="J33" s="817"/>
      <c r="K33" s="817"/>
      <c r="L33" s="817"/>
      <c r="M33" s="817"/>
      <c r="N33" s="817"/>
      <c r="O33" s="817"/>
      <c r="P33" s="817"/>
      <c r="Q33" s="817"/>
      <c r="R33" s="817"/>
      <c r="S33" s="817"/>
      <c r="T33" s="817"/>
      <c r="U33" s="817"/>
    </row>
    <row r="34" spans="1:40" ht="43.5" customHeight="1">
      <c r="A34" s="824"/>
      <c r="B34" s="1751"/>
      <c r="C34" s="1751"/>
      <c r="D34" s="1751"/>
      <c r="E34" s="1751"/>
      <c r="F34" s="1751"/>
      <c r="G34" s="1751"/>
      <c r="H34" s="1751"/>
      <c r="I34" s="1751"/>
      <c r="J34" s="1751"/>
      <c r="K34" s="1751"/>
      <c r="L34" s="1751"/>
      <c r="M34" s="1751"/>
      <c r="N34" s="1751"/>
      <c r="O34" s="1751"/>
      <c r="P34" s="1751"/>
      <c r="Q34" s="1751"/>
      <c r="R34" s="1751"/>
      <c r="S34" s="1751"/>
      <c r="T34" s="1751"/>
      <c r="U34" s="1751"/>
    </row>
    <row r="35" spans="1:40" ht="28.5" customHeight="1">
      <c r="A35" s="818"/>
      <c r="B35" s="818"/>
    </row>
    <row r="36" spans="1:40" ht="12" customHeight="1">
      <c r="A36" s="825"/>
    </row>
    <row r="37" spans="1:40" ht="69" customHeight="1">
      <c r="A37" s="819" t="s">
        <v>659</v>
      </c>
      <c r="C37" s="819"/>
      <c r="D37" s="819"/>
      <c r="E37" s="819"/>
      <c r="F37" s="819"/>
      <c r="G37" s="819"/>
      <c r="H37" s="1724" t="s">
        <v>156</v>
      </c>
      <c r="I37" s="1725"/>
      <c r="J37" s="1726"/>
      <c r="K37" s="616"/>
      <c r="W37" s="1748" t="s">
        <v>544</v>
      </c>
      <c r="X37" s="1749"/>
      <c r="Y37" s="1749"/>
      <c r="Z37" s="1749"/>
      <c r="AA37" s="1750"/>
      <c r="AB37" s="777"/>
    </row>
    <row r="38" spans="1:40" ht="78" customHeight="1">
      <c r="A38" s="1765" t="s">
        <v>660</v>
      </c>
      <c r="B38" s="1761" t="s">
        <v>618</v>
      </c>
      <c r="C38" s="1761" t="s">
        <v>619</v>
      </c>
      <c r="D38" s="1757" t="s">
        <v>620</v>
      </c>
      <c r="E38" s="1762" t="s">
        <v>621</v>
      </c>
      <c r="F38" s="1734" t="s">
        <v>622</v>
      </c>
      <c r="G38" s="1757" t="s">
        <v>623</v>
      </c>
      <c r="H38" s="1652" t="s">
        <v>552</v>
      </c>
      <c r="I38" s="1652" t="s">
        <v>553</v>
      </c>
      <c r="J38" s="1652" t="s">
        <v>554</v>
      </c>
      <c r="K38" s="1652" t="s">
        <v>555</v>
      </c>
      <c r="L38" s="1688" t="s">
        <v>649</v>
      </c>
      <c r="M38" s="1757" t="s">
        <v>625</v>
      </c>
      <c r="N38" s="1752" t="s">
        <v>650</v>
      </c>
      <c r="O38" s="1757" t="s">
        <v>627</v>
      </c>
      <c r="P38" s="1713" t="s">
        <v>442</v>
      </c>
      <c r="Q38" s="1757" t="s">
        <v>628</v>
      </c>
      <c r="R38" s="1661" t="s">
        <v>444</v>
      </c>
      <c r="S38" s="1661" t="s">
        <v>445</v>
      </c>
      <c r="T38" s="1661" t="s">
        <v>629</v>
      </c>
      <c r="U38" s="1711" t="s">
        <v>661</v>
      </c>
      <c r="V38" s="1711" t="s">
        <v>565</v>
      </c>
      <c r="W38" s="1661" t="s">
        <v>566</v>
      </c>
      <c r="X38" s="1661" t="s">
        <v>567</v>
      </c>
      <c r="Y38" s="1661" t="s">
        <v>568</v>
      </c>
      <c r="Z38" s="1661" t="s">
        <v>569</v>
      </c>
      <c r="AA38" s="1661" t="s">
        <v>570</v>
      </c>
      <c r="AB38" s="1733" t="s">
        <v>571</v>
      </c>
      <c r="AC38" s="1756" t="s">
        <v>631</v>
      </c>
      <c r="AD38" s="1754" t="s">
        <v>632</v>
      </c>
      <c r="AE38" s="1752" t="s">
        <v>633</v>
      </c>
      <c r="AF38" s="1754" t="s">
        <v>634</v>
      </c>
      <c r="AG38" s="1754" t="s">
        <v>574</v>
      </c>
      <c r="AH38" s="1754" t="s">
        <v>445</v>
      </c>
      <c r="AI38" s="1754" t="s">
        <v>635</v>
      </c>
      <c r="AJ38" s="1731" t="s">
        <v>576</v>
      </c>
      <c r="AK38" s="1731" t="s">
        <v>577</v>
      </c>
    </row>
    <row r="39" spans="1:40" ht="78.75" customHeight="1">
      <c r="A39" s="1766"/>
      <c r="B39" s="1761"/>
      <c r="C39" s="1761"/>
      <c r="D39" s="1757"/>
      <c r="E39" s="1762"/>
      <c r="F39" s="1735"/>
      <c r="G39" s="1757"/>
      <c r="H39" s="1663"/>
      <c r="I39" s="1663"/>
      <c r="J39" s="1663"/>
      <c r="K39" s="1663"/>
      <c r="L39" s="1657"/>
      <c r="M39" s="1757"/>
      <c r="N39" s="1753"/>
      <c r="O39" s="1757"/>
      <c r="P39" s="1758"/>
      <c r="Q39" s="1757"/>
      <c r="R39" s="1663"/>
      <c r="S39" s="1663"/>
      <c r="T39" s="1663"/>
      <c r="U39" s="1712"/>
      <c r="V39" s="1712"/>
      <c r="W39" s="1663"/>
      <c r="X39" s="1663"/>
      <c r="Y39" s="1663"/>
      <c r="Z39" s="1663"/>
      <c r="AA39" s="1663"/>
      <c r="AB39" s="1733"/>
      <c r="AC39" s="1712"/>
      <c r="AD39" s="1755"/>
      <c r="AE39" s="1753"/>
      <c r="AF39" s="1755"/>
      <c r="AG39" s="1755"/>
      <c r="AH39" s="1755"/>
      <c r="AI39" s="1755"/>
      <c r="AJ39" s="1732"/>
      <c r="AK39" s="1732"/>
      <c r="AL39" s="778" t="s">
        <v>636</v>
      </c>
      <c r="AM39" s="778" t="s">
        <v>637</v>
      </c>
      <c r="AN39" s="1513" t="s">
        <v>638</v>
      </c>
    </row>
    <row r="40" spans="1:40" ht="12" customHeight="1">
      <c r="A40" s="779"/>
      <c r="B40" s="780">
        <v>1</v>
      </c>
      <c r="C40" s="781">
        <f>B40+1</f>
        <v>2</v>
      </c>
      <c r="D40" s="781">
        <f>C40+1</f>
        <v>3</v>
      </c>
      <c r="E40" s="781">
        <f>D40+1</f>
        <v>4</v>
      </c>
      <c r="F40" s="781">
        <f>E40+1</f>
        <v>5</v>
      </c>
      <c r="G40" s="781">
        <f t="shared" ref="G40:AK40" si="39">F40+1</f>
        <v>6</v>
      </c>
      <c r="H40" s="781">
        <f t="shared" si="39"/>
        <v>7</v>
      </c>
      <c r="I40" s="781">
        <f t="shared" si="39"/>
        <v>8</v>
      </c>
      <c r="J40" s="781">
        <f t="shared" si="39"/>
        <v>9</v>
      </c>
      <c r="K40" s="781">
        <f t="shared" si="39"/>
        <v>10</v>
      </c>
      <c r="L40" s="781">
        <f t="shared" si="39"/>
        <v>11</v>
      </c>
      <c r="M40" s="781">
        <f t="shared" si="39"/>
        <v>12</v>
      </c>
      <c r="N40" s="781">
        <f t="shared" si="39"/>
        <v>13</v>
      </c>
      <c r="O40" s="781">
        <f t="shared" si="39"/>
        <v>14</v>
      </c>
      <c r="P40" s="781">
        <f t="shared" si="39"/>
        <v>15</v>
      </c>
      <c r="Q40" s="781">
        <f t="shared" si="39"/>
        <v>16</v>
      </c>
      <c r="R40" s="781">
        <f t="shared" si="39"/>
        <v>17</v>
      </c>
      <c r="S40" s="781">
        <f t="shared" si="39"/>
        <v>18</v>
      </c>
      <c r="T40" s="781">
        <f t="shared" si="39"/>
        <v>19</v>
      </c>
      <c r="U40" s="781">
        <f t="shared" si="39"/>
        <v>20</v>
      </c>
      <c r="V40" s="781">
        <f t="shared" si="39"/>
        <v>21</v>
      </c>
      <c r="W40" s="781">
        <f t="shared" si="39"/>
        <v>22</v>
      </c>
      <c r="X40" s="781">
        <f t="shared" si="39"/>
        <v>23</v>
      </c>
      <c r="Y40" s="781">
        <f t="shared" si="39"/>
        <v>24</v>
      </c>
      <c r="Z40" s="781">
        <f t="shared" si="39"/>
        <v>25</v>
      </c>
      <c r="AA40" s="781">
        <f t="shared" si="39"/>
        <v>26</v>
      </c>
      <c r="AB40" s="781">
        <f t="shared" si="39"/>
        <v>27</v>
      </c>
      <c r="AC40" s="781">
        <f t="shared" si="39"/>
        <v>28</v>
      </c>
      <c r="AD40" s="781">
        <f t="shared" si="39"/>
        <v>29</v>
      </c>
      <c r="AE40" s="781">
        <f t="shared" si="39"/>
        <v>30</v>
      </c>
      <c r="AF40" s="781">
        <f t="shared" si="39"/>
        <v>31</v>
      </c>
      <c r="AG40" s="781">
        <f t="shared" si="39"/>
        <v>32</v>
      </c>
      <c r="AH40" s="781">
        <f t="shared" si="39"/>
        <v>33</v>
      </c>
      <c r="AI40" s="781">
        <f t="shared" si="39"/>
        <v>34</v>
      </c>
      <c r="AJ40" s="781">
        <f t="shared" si="39"/>
        <v>35</v>
      </c>
      <c r="AK40" s="781">
        <f t="shared" si="39"/>
        <v>36</v>
      </c>
      <c r="AL40" s="820"/>
      <c r="AM40" s="820"/>
      <c r="AN40" s="1519"/>
    </row>
    <row r="41" spans="1:40" ht="40.5" customHeight="1">
      <c r="A41" s="826" t="s">
        <v>662</v>
      </c>
      <c r="B41" s="785">
        <v>172</v>
      </c>
      <c r="C41" s="786">
        <f>'Table 3 Levels 1&amp;2'!AL43</f>
        <v>3252.0270959716217</v>
      </c>
      <c r="D41" s="786">
        <f>B41*C41</f>
        <v>559348.66050711891</v>
      </c>
      <c r="E41" s="787">
        <f>'Table 5B1_RSD_Orleans'!F70</f>
        <v>746.0335616438357</v>
      </c>
      <c r="F41" s="787">
        <f>E41*B41</f>
        <v>128317.77260273974</v>
      </c>
      <c r="G41" s="787">
        <f>D41+F41</f>
        <v>687666.43310985866</v>
      </c>
      <c r="H41" s="787">
        <f>'October midyear adj'!K113</f>
        <v>367821.58050062205</v>
      </c>
      <c r="I41" s="787">
        <f>'February midyear adj '!K114</f>
        <v>23988.363945692745</v>
      </c>
      <c r="J41" s="787">
        <f>H41+I41</f>
        <v>391809.94444631477</v>
      </c>
      <c r="K41" s="787">
        <f t="shared" ref="K41:K46" si="40">SUM(G41:I41)</f>
        <v>1079476.3775561736</v>
      </c>
      <c r="L41" s="787">
        <f>-(0.25%*K41)</f>
        <v>-2698.690943890434</v>
      </c>
      <c r="M41" s="788">
        <f>K41+L41</f>
        <v>1076777.6866122831</v>
      </c>
      <c r="N41" s="788">
        <v>-19701</v>
      </c>
      <c r="O41" s="789">
        <f>SUM(M41:N41)</f>
        <v>1057076.6866122831</v>
      </c>
      <c r="P41" s="787">
        <f>'[10]Table 5C1 - Type 2s'!$Q$40</f>
        <v>-451</v>
      </c>
      <c r="Q41" s="789">
        <f t="shared" ref="Q41:Q46" si="41">O41+P41</f>
        <v>1056625.6866122831</v>
      </c>
      <c r="R41" s="789">
        <f>55520.522252257+(91776)+92573+92573+92573+92573+92576+92482</f>
        <v>702646.52225225698</v>
      </c>
      <c r="S41" s="789">
        <f>Q41-R41</f>
        <v>353979.16436002613</v>
      </c>
      <c r="T41" s="789">
        <f>S41/4</f>
        <v>88494.791090006533</v>
      </c>
      <c r="U41" s="790">
        <f>'[11]FY2011-12_Final'!$D$43</f>
        <v>4207</v>
      </c>
      <c r="V41" s="791">
        <f t="shared" ref="V41:V46" si="42">U41*B41</f>
        <v>723604</v>
      </c>
      <c r="W41" s="792">
        <f>'October midyear adj'!E113</f>
        <v>92</v>
      </c>
      <c r="X41" s="791">
        <f t="shared" ref="X41:X46" si="43">W41*U41</f>
        <v>387044</v>
      </c>
      <c r="Y41" s="792">
        <f>'February midyear adj '!E114</f>
        <v>12</v>
      </c>
      <c r="Z41" s="791">
        <f t="shared" ref="Z41:Z46" si="44">(0.5*U41)*Y41</f>
        <v>25242</v>
      </c>
      <c r="AA41" s="791">
        <f>X41+Z41</f>
        <v>412286</v>
      </c>
      <c r="AB41" s="791">
        <f t="shared" ref="AB41:AB46" si="45">V41+X41+Z41</f>
        <v>1135890</v>
      </c>
      <c r="AC41" s="791">
        <f>AB41*-0.25%</f>
        <v>-2839.7249999999999</v>
      </c>
      <c r="AD41" s="791">
        <f>SUM(AB41:AC41)</f>
        <v>1133050.2749999999</v>
      </c>
      <c r="AE41" s="790">
        <v>-20545</v>
      </c>
      <c r="AF41" s="791">
        <f>SUM(AD41:AE41)</f>
        <v>1112505.2749999999</v>
      </c>
      <c r="AG41" s="791">
        <f>56678.9066666667+ (93714)+94528+94528+94528+94528+94528+94528</f>
        <v>717560.90666666673</v>
      </c>
      <c r="AH41" s="791">
        <f>AF41-AG41</f>
        <v>394944.36833333317</v>
      </c>
      <c r="AI41" s="791">
        <f>AH41/4</f>
        <v>98736.092083333293</v>
      </c>
      <c r="AJ41" s="793">
        <f>Q41+AF41</f>
        <v>2169130.9616122833</v>
      </c>
      <c r="AK41" s="793">
        <f>T41+AI41</f>
        <v>187230.88317333983</v>
      </c>
      <c r="AL41" s="820">
        <f>AC41</f>
        <v>-2839.7249999999999</v>
      </c>
      <c r="AM41" s="820">
        <v>1756</v>
      </c>
      <c r="AN41" s="1519">
        <f t="shared" ref="AN41:AN46" si="46">SUM(AL41:AM41)</f>
        <v>-1083.7249999999999</v>
      </c>
    </row>
    <row r="42" spans="1:40" ht="42.75" customHeight="1">
      <c r="A42" s="826" t="s">
        <v>663</v>
      </c>
      <c r="B42" s="785">
        <v>12</v>
      </c>
      <c r="C42" s="786">
        <f>'Table 3 Levels 1&amp;2'!AL33</f>
        <v>3150.3479009796833</v>
      </c>
      <c r="D42" s="786">
        <f>B42*C42</f>
        <v>37804.174811756202</v>
      </c>
      <c r="E42" s="787">
        <f>'Table 4 Level 3'!P31</f>
        <v>836.83</v>
      </c>
      <c r="F42" s="787">
        <f>E42*B42</f>
        <v>10041.960000000001</v>
      </c>
      <c r="G42" s="787">
        <f>D42+F42</f>
        <v>47846.134811756201</v>
      </c>
      <c r="H42" s="787">
        <f>'October midyear adj'!K114</f>
        <v>59807.668514695251</v>
      </c>
      <c r="I42" s="787">
        <f>'February midyear adj '!K115</f>
        <v>1993.5889504898416</v>
      </c>
      <c r="J42" s="787">
        <f t="shared" ref="J42:J46" si="47">H42+I42</f>
        <v>61801.257465185095</v>
      </c>
      <c r="K42" s="787">
        <f t="shared" si="40"/>
        <v>109647.39227694129</v>
      </c>
      <c r="L42" s="787">
        <f t="shared" ref="L42:L46" si="48">-(0.25%*K42)</f>
        <v>-274.11848069235322</v>
      </c>
      <c r="M42" s="788">
        <f t="shared" ref="M42:M46" si="49">K42+L42</f>
        <v>109373.27379624893</v>
      </c>
      <c r="N42" s="788">
        <v>0</v>
      </c>
      <c r="O42" s="789">
        <f>SUM(M42:N42)</f>
        <v>109373.27379624893</v>
      </c>
      <c r="P42" s="787">
        <v>0</v>
      </c>
      <c r="Q42" s="789">
        <f t="shared" si="41"/>
        <v>109373.27379624893</v>
      </c>
      <c r="R42" s="789">
        <f>3977.20995622723*8</f>
        <v>31817.679649817841</v>
      </c>
      <c r="S42" s="789">
        <f t="shared" ref="S42:S46" si="50">Q42-R42</f>
        <v>77555.594146431089</v>
      </c>
      <c r="T42" s="789">
        <f t="shared" ref="T42:T46" si="51">S42/4</f>
        <v>19388.898536607772</v>
      </c>
      <c r="U42" s="790">
        <f>'[11]FY2011-12_Final'!$D$33</f>
        <v>4648</v>
      </c>
      <c r="V42" s="791">
        <f t="shared" si="42"/>
        <v>55776</v>
      </c>
      <c r="W42" s="792">
        <f>'October midyear adj'!E114</f>
        <v>15</v>
      </c>
      <c r="X42" s="791">
        <f t="shared" si="43"/>
        <v>69720</v>
      </c>
      <c r="Y42" s="792">
        <f>'February midyear adj '!E115</f>
        <v>1</v>
      </c>
      <c r="Z42" s="791">
        <f t="shared" si="44"/>
        <v>2324</v>
      </c>
      <c r="AA42" s="791">
        <f t="shared" ref="AA42:AA46" si="52">X42+Z42</f>
        <v>72044</v>
      </c>
      <c r="AB42" s="791">
        <f t="shared" si="45"/>
        <v>127820</v>
      </c>
      <c r="AC42" s="791">
        <f t="shared" ref="AC42:AC46" si="53">AB42*-0.25%</f>
        <v>-319.55</v>
      </c>
      <c r="AD42" s="791">
        <f t="shared" ref="AD42:AD46" si="54">SUM(AB42:AC42)</f>
        <v>127500.45</v>
      </c>
      <c r="AE42" s="790">
        <v>0</v>
      </c>
      <c r="AF42" s="791">
        <f t="shared" ref="AF42:AF46" si="55">SUM(AD42:AE42)</f>
        <v>127500.45</v>
      </c>
      <c r="AG42" s="791">
        <f>4685.2575*8</f>
        <v>37482.06</v>
      </c>
      <c r="AH42" s="791">
        <f t="shared" ref="AH42:AH46" si="56">AF42-AG42</f>
        <v>90018.39</v>
      </c>
      <c r="AI42" s="791">
        <f>AH42/4</f>
        <v>22504.5975</v>
      </c>
      <c r="AJ42" s="793">
        <f>Q42+AF42</f>
        <v>236873.72379624893</v>
      </c>
      <c r="AK42" s="793">
        <f>T42+AI42</f>
        <v>41893.496036607772</v>
      </c>
      <c r="AL42" s="820">
        <f t="shared" ref="AL42:AL46" si="57">AC42</f>
        <v>-319.55</v>
      </c>
      <c r="AM42" s="820">
        <v>141</v>
      </c>
      <c r="AN42" s="1519">
        <f t="shared" si="46"/>
        <v>-178.55</v>
      </c>
    </row>
    <row r="43" spans="1:40" ht="42.75" customHeight="1">
      <c r="A43" s="826" t="s">
        <v>664</v>
      </c>
      <c r="B43" s="785">
        <v>0</v>
      </c>
      <c r="C43" s="786">
        <f>'Table 3 Levels 1&amp;2'!AL51</f>
        <v>4357.2434646748297</v>
      </c>
      <c r="D43" s="786">
        <f t="shared" ref="D43:D45" si="58">B43*C43</f>
        <v>0</v>
      </c>
      <c r="E43" s="787">
        <f>'Table 4 Level 3'!P49</f>
        <v>663.16000000000008</v>
      </c>
      <c r="F43" s="787">
        <f t="shared" ref="F43:F45" si="59">E43*B43</f>
        <v>0</v>
      </c>
      <c r="G43" s="787">
        <f t="shared" ref="G43:G45" si="60">D43+F43</f>
        <v>0</v>
      </c>
      <c r="H43" s="787">
        <f>'October midyear adj'!K115</f>
        <v>5020.4034646748296</v>
      </c>
      <c r="I43" s="787">
        <f>'February midyear adj '!K116</f>
        <v>0</v>
      </c>
      <c r="J43" s="787">
        <f t="shared" si="47"/>
        <v>5020.4034646748296</v>
      </c>
      <c r="K43" s="787">
        <f t="shared" si="40"/>
        <v>5020.4034646748296</v>
      </c>
      <c r="L43" s="787">
        <f t="shared" si="48"/>
        <v>-12.551008661687074</v>
      </c>
      <c r="M43" s="788">
        <f t="shared" si="49"/>
        <v>5007.8524560131427</v>
      </c>
      <c r="N43" s="788">
        <v>0</v>
      </c>
      <c r="O43" s="789">
        <f t="shared" ref="O43:O45" si="61">SUM(M43:N43)</f>
        <v>5007.8524560131427</v>
      </c>
      <c r="P43" s="787">
        <v>0</v>
      </c>
      <c r="Q43" s="789">
        <f t="shared" si="41"/>
        <v>5007.8524560131427</v>
      </c>
      <c r="R43" s="789">
        <v>0</v>
      </c>
      <c r="S43" s="789">
        <f t="shared" si="50"/>
        <v>5007.8524560131427</v>
      </c>
      <c r="T43" s="789">
        <f t="shared" si="51"/>
        <v>1251.9631140032857</v>
      </c>
      <c r="U43" s="790">
        <f>'[11]FY2011-12_Final'!$D51</f>
        <v>4700</v>
      </c>
      <c r="V43" s="791">
        <f t="shared" si="42"/>
        <v>0</v>
      </c>
      <c r="W43" s="792">
        <f>'October midyear adj'!E115</f>
        <v>1</v>
      </c>
      <c r="X43" s="791">
        <f t="shared" si="43"/>
        <v>4700</v>
      </c>
      <c r="Y43" s="792">
        <f>'February midyear adj '!E116</f>
        <v>0</v>
      </c>
      <c r="Z43" s="791">
        <f t="shared" si="44"/>
        <v>0</v>
      </c>
      <c r="AA43" s="791">
        <f t="shared" si="52"/>
        <v>4700</v>
      </c>
      <c r="AB43" s="791">
        <f t="shared" si="45"/>
        <v>4700</v>
      </c>
      <c r="AC43" s="791">
        <f t="shared" si="53"/>
        <v>-11.75</v>
      </c>
      <c r="AD43" s="791">
        <f t="shared" si="54"/>
        <v>4688.25</v>
      </c>
      <c r="AE43" s="790">
        <v>0</v>
      </c>
      <c r="AF43" s="791">
        <f t="shared" si="55"/>
        <v>4688.25</v>
      </c>
      <c r="AG43" s="791">
        <v>0</v>
      </c>
      <c r="AH43" s="791">
        <f t="shared" si="56"/>
        <v>4688.25</v>
      </c>
      <c r="AI43" s="791">
        <f t="shared" ref="AI43:AI45" si="62">AH43/4</f>
        <v>1172.0625</v>
      </c>
      <c r="AJ43" s="793">
        <f t="shared" ref="AJ43:AJ45" si="63">Q43+AF43</f>
        <v>9696.1024560131427</v>
      </c>
      <c r="AK43" s="793">
        <f t="shared" ref="AK43:AK45" si="64">T43+AI43</f>
        <v>2424.0256140032857</v>
      </c>
      <c r="AL43" s="820">
        <f t="shared" si="57"/>
        <v>-11.75</v>
      </c>
      <c r="AM43" s="820">
        <v>0</v>
      </c>
      <c r="AN43" s="1519">
        <f t="shared" si="46"/>
        <v>-11.75</v>
      </c>
    </row>
    <row r="44" spans="1:40" ht="42.75" customHeight="1">
      <c r="A44" s="826" t="s">
        <v>665</v>
      </c>
      <c r="B44" s="785">
        <v>0</v>
      </c>
      <c r="C44" s="786">
        <f>'Table 3 Levels 1&amp;2'!AL52</f>
        <v>2430.4793213149524</v>
      </c>
      <c r="D44" s="786">
        <f t="shared" si="58"/>
        <v>0</v>
      </c>
      <c r="E44" s="787">
        <f>'Table 4 Level 3'!P50</f>
        <v>753.96000000000015</v>
      </c>
      <c r="F44" s="787">
        <f t="shared" si="59"/>
        <v>0</v>
      </c>
      <c r="G44" s="787">
        <f t="shared" si="60"/>
        <v>0</v>
      </c>
      <c r="H44" s="787">
        <f>'October midyear adj'!K116</f>
        <v>3184.4393213149524</v>
      </c>
      <c r="I44" s="787">
        <f>'February midyear adj '!K117</f>
        <v>0</v>
      </c>
      <c r="J44" s="787">
        <f t="shared" si="47"/>
        <v>3184.4393213149524</v>
      </c>
      <c r="K44" s="787">
        <f t="shared" si="40"/>
        <v>3184.4393213149524</v>
      </c>
      <c r="L44" s="787">
        <f t="shared" si="48"/>
        <v>-7.9610983032873808</v>
      </c>
      <c r="M44" s="788">
        <f t="shared" si="49"/>
        <v>3176.4782230116648</v>
      </c>
      <c r="N44" s="788">
        <v>0</v>
      </c>
      <c r="O44" s="789">
        <f t="shared" si="61"/>
        <v>3176.4782230116648</v>
      </c>
      <c r="P44" s="787">
        <v>0</v>
      </c>
      <c r="Q44" s="789">
        <f t="shared" si="41"/>
        <v>3176.4782230116648</v>
      </c>
      <c r="R44" s="789">
        <v>0</v>
      </c>
      <c r="S44" s="789">
        <f t="shared" si="50"/>
        <v>3176.4782230116648</v>
      </c>
      <c r="T44" s="789">
        <f t="shared" si="51"/>
        <v>794.1195557529162</v>
      </c>
      <c r="U44" s="790">
        <f>'[11]FY2011-12_Final'!$D52</f>
        <v>9563</v>
      </c>
      <c r="V44" s="791">
        <f t="shared" si="42"/>
        <v>0</v>
      </c>
      <c r="W44" s="792">
        <f>'October midyear adj'!E116</f>
        <v>1</v>
      </c>
      <c r="X44" s="791">
        <f t="shared" si="43"/>
        <v>9563</v>
      </c>
      <c r="Y44" s="792">
        <f>'February midyear adj '!E117</f>
        <v>0</v>
      </c>
      <c r="Z44" s="791">
        <f t="shared" si="44"/>
        <v>0</v>
      </c>
      <c r="AA44" s="791">
        <f t="shared" si="52"/>
        <v>9563</v>
      </c>
      <c r="AB44" s="791">
        <f t="shared" si="45"/>
        <v>9563</v>
      </c>
      <c r="AC44" s="791">
        <f t="shared" si="53"/>
        <v>-23.907499999999999</v>
      </c>
      <c r="AD44" s="791">
        <f t="shared" si="54"/>
        <v>9539.0925000000007</v>
      </c>
      <c r="AE44" s="790">
        <v>0</v>
      </c>
      <c r="AF44" s="791">
        <f t="shared" si="55"/>
        <v>9539.0925000000007</v>
      </c>
      <c r="AG44" s="791">
        <v>0</v>
      </c>
      <c r="AH44" s="791">
        <f t="shared" si="56"/>
        <v>9539.0925000000007</v>
      </c>
      <c r="AI44" s="791">
        <f t="shared" si="62"/>
        <v>2384.7731250000002</v>
      </c>
      <c r="AJ44" s="793">
        <f t="shared" si="63"/>
        <v>12715.570723011666</v>
      </c>
      <c r="AK44" s="793">
        <f t="shared" si="64"/>
        <v>3178.8926807529165</v>
      </c>
      <c r="AL44" s="820">
        <f t="shared" si="57"/>
        <v>-23.907499999999999</v>
      </c>
      <c r="AM44" s="820">
        <v>0</v>
      </c>
      <c r="AN44" s="1519">
        <f t="shared" si="46"/>
        <v>-23.907499999999999</v>
      </c>
    </row>
    <row r="45" spans="1:40" ht="42.75" customHeight="1">
      <c r="A45" s="826" t="s">
        <v>666</v>
      </c>
      <c r="B45" s="785">
        <v>0</v>
      </c>
      <c r="C45" s="786">
        <f>'Table 3 Levels 1&amp;2'!AL55</f>
        <v>3462.9674441491134</v>
      </c>
      <c r="D45" s="786">
        <f t="shared" si="58"/>
        <v>0</v>
      </c>
      <c r="E45" s="787">
        <f>'Table 4 Level 3'!P53</f>
        <v>871.07</v>
      </c>
      <c r="F45" s="787">
        <f t="shared" si="59"/>
        <v>0</v>
      </c>
      <c r="G45" s="787">
        <f t="shared" si="60"/>
        <v>0</v>
      </c>
      <c r="H45" s="787">
        <f>'October midyear adj'!K117</f>
        <v>8668.0748882982261</v>
      </c>
      <c r="I45" s="787">
        <f>'February midyear adj '!K118</f>
        <v>0</v>
      </c>
      <c r="J45" s="787">
        <f t="shared" si="47"/>
        <v>8668.0748882982261</v>
      </c>
      <c r="K45" s="787">
        <f t="shared" si="40"/>
        <v>8668.0748882982261</v>
      </c>
      <c r="L45" s="787">
        <f t="shared" si="48"/>
        <v>-21.670187220745564</v>
      </c>
      <c r="M45" s="788">
        <f t="shared" si="49"/>
        <v>8646.4047010774811</v>
      </c>
      <c r="N45" s="788">
        <v>0</v>
      </c>
      <c r="O45" s="789">
        <f t="shared" si="61"/>
        <v>8646.4047010774811</v>
      </c>
      <c r="P45" s="787">
        <v>0</v>
      </c>
      <c r="Q45" s="789">
        <f t="shared" si="41"/>
        <v>8646.4047010774811</v>
      </c>
      <c r="R45" s="789">
        <v>0</v>
      </c>
      <c r="S45" s="789">
        <f t="shared" si="50"/>
        <v>8646.4047010774811</v>
      </c>
      <c r="T45" s="789">
        <f t="shared" si="51"/>
        <v>2161.6011752693703</v>
      </c>
      <c r="U45" s="790">
        <f>'[11]FY2011-12_Final'!$D$55</f>
        <v>4151</v>
      </c>
      <c r="V45" s="791">
        <f t="shared" si="42"/>
        <v>0</v>
      </c>
      <c r="W45" s="792">
        <f>'October midyear adj'!E117</f>
        <v>2</v>
      </c>
      <c r="X45" s="791">
        <f t="shared" si="43"/>
        <v>8302</v>
      </c>
      <c r="Y45" s="792">
        <f>'February midyear adj '!E118</f>
        <v>0</v>
      </c>
      <c r="Z45" s="791">
        <f t="shared" si="44"/>
        <v>0</v>
      </c>
      <c r="AA45" s="791">
        <f t="shared" si="52"/>
        <v>8302</v>
      </c>
      <c r="AB45" s="791">
        <f t="shared" si="45"/>
        <v>8302</v>
      </c>
      <c r="AC45" s="791">
        <f t="shared" si="53"/>
        <v>-20.754999999999999</v>
      </c>
      <c r="AD45" s="791">
        <f t="shared" si="54"/>
        <v>8281.2450000000008</v>
      </c>
      <c r="AE45" s="790">
        <v>0</v>
      </c>
      <c r="AF45" s="791">
        <f t="shared" si="55"/>
        <v>8281.2450000000008</v>
      </c>
      <c r="AG45" s="791">
        <v>0</v>
      </c>
      <c r="AH45" s="791">
        <f t="shared" si="56"/>
        <v>8281.2450000000008</v>
      </c>
      <c r="AI45" s="791">
        <f t="shared" si="62"/>
        <v>2070.3112500000002</v>
      </c>
      <c r="AJ45" s="793">
        <f t="shared" si="63"/>
        <v>16927.649701077484</v>
      </c>
      <c r="AK45" s="793">
        <f t="shared" si="64"/>
        <v>4231.9124252693709</v>
      </c>
      <c r="AL45" s="820">
        <f t="shared" si="57"/>
        <v>-20.754999999999999</v>
      </c>
      <c r="AM45" s="820">
        <v>0</v>
      </c>
      <c r="AN45" s="1519">
        <f t="shared" si="46"/>
        <v>-20.754999999999999</v>
      </c>
    </row>
    <row r="46" spans="1:40" ht="41.25" customHeight="1">
      <c r="A46" s="826" t="s">
        <v>667</v>
      </c>
      <c r="B46" s="785">
        <v>1</v>
      </c>
      <c r="C46" s="786">
        <f>'Table 3 Levels 1&amp;2'!AL59</f>
        <v>4986.190392708143</v>
      </c>
      <c r="D46" s="786">
        <f>B46*C46</f>
        <v>4986.190392708143</v>
      </c>
      <c r="E46" s="787">
        <f>'Table 4 Level 3'!P57</f>
        <v>658.37</v>
      </c>
      <c r="F46" s="787">
        <f>E46*B46</f>
        <v>658.37</v>
      </c>
      <c r="G46" s="787">
        <f>D46+F46</f>
        <v>5644.5603927081429</v>
      </c>
      <c r="H46" s="787">
        <f>'October midyear adj'!K118</f>
        <v>0</v>
      </c>
      <c r="I46" s="787">
        <f>'February midyear adj '!K119</f>
        <v>0</v>
      </c>
      <c r="J46" s="787">
        <f t="shared" si="47"/>
        <v>0</v>
      </c>
      <c r="K46" s="787">
        <f t="shared" si="40"/>
        <v>5644.5603927081429</v>
      </c>
      <c r="L46" s="787">
        <f t="shared" si="48"/>
        <v>-14.111400981770357</v>
      </c>
      <c r="M46" s="788">
        <f t="shared" si="49"/>
        <v>5630.4489917263727</v>
      </c>
      <c r="N46" s="788">
        <v>0</v>
      </c>
      <c r="O46" s="789">
        <f>SUM(M46:N46)</f>
        <v>5630.4489917263727</v>
      </c>
      <c r="P46" s="787">
        <v>0</v>
      </c>
      <c r="Q46" s="789">
        <f t="shared" si="41"/>
        <v>5630.4489917263727</v>
      </c>
      <c r="R46" s="789">
        <f>469.204082643864*8</f>
        <v>3753.6326611509121</v>
      </c>
      <c r="S46" s="789">
        <f t="shared" si="50"/>
        <v>1876.8163305754606</v>
      </c>
      <c r="T46" s="789">
        <f t="shared" si="51"/>
        <v>469.20408264386515</v>
      </c>
      <c r="U46" s="790">
        <f>'[11]FY2011-12_Final'!$D$59</f>
        <v>3984</v>
      </c>
      <c r="V46" s="791">
        <f t="shared" si="42"/>
        <v>3984</v>
      </c>
      <c r="W46" s="792">
        <f>'October midyear adj'!E118</f>
        <v>0</v>
      </c>
      <c r="X46" s="791">
        <f t="shared" si="43"/>
        <v>0</v>
      </c>
      <c r="Y46" s="792">
        <f>'February midyear adj '!E119</f>
        <v>0</v>
      </c>
      <c r="Z46" s="791">
        <f t="shared" si="44"/>
        <v>0</v>
      </c>
      <c r="AA46" s="791">
        <f t="shared" si="52"/>
        <v>0</v>
      </c>
      <c r="AB46" s="791">
        <f t="shared" si="45"/>
        <v>3984</v>
      </c>
      <c r="AC46" s="791">
        <f t="shared" si="53"/>
        <v>-9.9600000000000009</v>
      </c>
      <c r="AD46" s="791">
        <f t="shared" si="54"/>
        <v>3974.04</v>
      </c>
      <c r="AE46" s="790">
        <v>0</v>
      </c>
      <c r="AF46" s="791">
        <f t="shared" si="55"/>
        <v>3974.04</v>
      </c>
      <c r="AG46" s="791">
        <f>332.5*8</f>
        <v>2660</v>
      </c>
      <c r="AH46" s="791">
        <f t="shared" si="56"/>
        <v>1314.04</v>
      </c>
      <c r="AI46" s="791">
        <f>AH46/4</f>
        <v>328.51</v>
      </c>
      <c r="AJ46" s="793">
        <f>Q46+AF46</f>
        <v>9604.4889917263718</v>
      </c>
      <c r="AK46" s="793">
        <f>T46+AI46</f>
        <v>797.71408264386514</v>
      </c>
      <c r="AL46" s="820">
        <f t="shared" si="57"/>
        <v>-9.9600000000000009</v>
      </c>
      <c r="AM46" s="820">
        <v>10</v>
      </c>
      <c r="AN46" s="1519">
        <f t="shared" si="46"/>
        <v>3.9999999999999147E-2</v>
      </c>
    </row>
    <row r="47" spans="1:40" ht="38.25" customHeight="1">
      <c r="A47" s="827" t="s">
        <v>668</v>
      </c>
      <c r="B47" s="797">
        <f>SUM(B41:B46)</f>
        <v>185</v>
      </c>
      <c r="C47" s="798"/>
      <c r="D47" s="798">
        <f>SUM(D41:D46)</f>
        <v>602139.02571158332</v>
      </c>
      <c r="E47" s="798"/>
      <c r="F47" s="798">
        <f t="shared" ref="F47:T47" si="65">SUM(F41:F46)</f>
        <v>139018.10260273973</v>
      </c>
      <c r="G47" s="799">
        <f t="shared" si="65"/>
        <v>741157.12831432302</v>
      </c>
      <c r="H47" s="799">
        <f t="shared" si="65"/>
        <v>444502.16668960534</v>
      </c>
      <c r="I47" s="799">
        <f t="shared" si="65"/>
        <v>25981.952896182585</v>
      </c>
      <c r="J47" s="799">
        <f t="shared" si="65"/>
        <v>470484.11958578788</v>
      </c>
      <c r="K47" s="799">
        <f t="shared" si="65"/>
        <v>1211641.2479001109</v>
      </c>
      <c r="L47" s="798">
        <f t="shared" si="65"/>
        <v>-3029.1031197502775</v>
      </c>
      <c r="M47" s="800">
        <f t="shared" si="65"/>
        <v>1208612.1447803606</v>
      </c>
      <c r="N47" s="800">
        <f t="shared" si="65"/>
        <v>-19701</v>
      </c>
      <c r="O47" s="801">
        <f t="shared" si="65"/>
        <v>1188911.1447803606</v>
      </c>
      <c r="P47" s="799">
        <f>SUM(P41:P46)</f>
        <v>-451</v>
      </c>
      <c r="Q47" s="801">
        <f>SUM(Q41:Q46)</f>
        <v>1188460.1447803606</v>
      </c>
      <c r="R47" s="801">
        <f>SUM(R41:R46)</f>
        <v>738217.83456322574</v>
      </c>
      <c r="S47" s="801">
        <f>SUM(S41:S46)</f>
        <v>450242.31021713495</v>
      </c>
      <c r="T47" s="801">
        <f t="shared" si="65"/>
        <v>112560.57755428374</v>
      </c>
      <c r="U47" s="800"/>
      <c r="V47" s="799">
        <f>SUM(V41:V46)</f>
        <v>783364</v>
      </c>
      <c r="W47" s="802">
        <f>SUM(W41:W46)</f>
        <v>111</v>
      </c>
      <c r="X47" s="799">
        <f t="shared" ref="X47:AK47" si="66">SUM(X41:X46)</f>
        <v>479329</v>
      </c>
      <c r="Y47" s="802">
        <f t="shared" si="66"/>
        <v>13</v>
      </c>
      <c r="Z47" s="799">
        <f t="shared" si="66"/>
        <v>27566</v>
      </c>
      <c r="AA47" s="799">
        <f t="shared" si="66"/>
        <v>506895</v>
      </c>
      <c r="AB47" s="799">
        <f t="shared" si="66"/>
        <v>1290259</v>
      </c>
      <c r="AC47" s="799">
        <f t="shared" si="66"/>
        <v>-3225.6475</v>
      </c>
      <c r="AD47" s="799">
        <f t="shared" si="66"/>
        <v>1287033.3525</v>
      </c>
      <c r="AE47" s="799">
        <f t="shared" si="66"/>
        <v>-20545</v>
      </c>
      <c r="AF47" s="799">
        <f t="shared" si="66"/>
        <v>1266488.3525</v>
      </c>
      <c r="AG47" s="799">
        <f>SUM(AG41:AG46)</f>
        <v>757702.96666666679</v>
      </c>
      <c r="AH47" s="799">
        <f>SUM(AH41:AH46)</f>
        <v>508785.38583333319</v>
      </c>
      <c r="AI47" s="799">
        <f t="shared" si="66"/>
        <v>127196.3464583333</v>
      </c>
      <c r="AJ47" s="799">
        <f t="shared" si="66"/>
        <v>2454948.4972803607</v>
      </c>
      <c r="AK47" s="799">
        <f t="shared" si="66"/>
        <v>239756.924012617</v>
      </c>
      <c r="AL47" s="820">
        <f>SUM(AL41:AL46)</f>
        <v>-3225.6475</v>
      </c>
      <c r="AM47" s="820">
        <f t="shared" ref="AM47:AN47" si="67">SUM(AM41:AM46)</f>
        <v>1907</v>
      </c>
      <c r="AN47" s="1519">
        <f t="shared" si="67"/>
        <v>-1318.6475</v>
      </c>
    </row>
    <row r="48" spans="1:40" ht="9.75" customHeight="1">
      <c r="A48" s="804"/>
      <c r="B48" s="805"/>
      <c r="C48" s="806"/>
      <c r="D48" s="806"/>
      <c r="E48" s="806"/>
      <c r="F48" s="806"/>
      <c r="G48" s="806"/>
      <c r="H48" s="806"/>
      <c r="I48" s="806"/>
      <c r="J48" s="806"/>
      <c r="K48" s="806"/>
      <c r="L48" s="806"/>
      <c r="M48" s="806"/>
      <c r="N48" s="806"/>
      <c r="O48" s="806"/>
      <c r="P48" s="806"/>
      <c r="Q48" s="806"/>
      <c r="R48" s="806"/>
      <c r="S48" s="806"/>
      <c r="T48" s="806"/>
      <c r="U48" s="806"/>
      <c r="V48" s="806"/>
      <c r="W48" s="806"/>
      <c r="X48" s="806"/>
      <c r="Y48" s="806"/>
      <c r="Z48" s="806"/>
      <c r="AA48" s="806"/>
      <c r="AB48" s="806"/>
      <c r="AC48" s="806"/>
      <c r="AD48" s="806"/>
      <c r="AE48" s="806"/>
      <c r="AF48" s="806"/>
      <c r="AG48" s="806"/>
      <c r="AH48" s="806"/>
      <c r="AI48" s="806"/>
      <c r="AJ48" s="806"/>
      <c r="AK48" s="807"/>
    </row>
    <row r="49" spans="1:40" ht="36" customHeight="1">
      <c r="A49" s="826" t="s">
        <v>657</v>
      </c>
      <c r="B49" s="785"/>
      <c r="C49" s="786"/>
      <c r="D49" s="786"/>
      <c r="E49" s="787"/>
      <c r="F49" s="787"/>
      <c r="G49" s="787"/>
      <c r="H49" s="787"/>
      <c r="I49" s="787"/>
      <c r="J49" s="787"/>
      <c r="K49" s="787"/>
      <c r="L49" s="787">
        <f>-L47</f>
        <v>3029.1031197502775</v>
      </c>
      <c r="M49" s="788">
        <f>L49</f>
        <v>3029.1031197502775</v>
      </c>
      <c r="N49" s="788"/>
      <c r="O49" s="789"/>
      <c r="P49" s="787"/>
      <c r="Q49" s="789"/>
      <c r="R49" s="789">
        <v>1853</v>
      </c>
      <c r="S49" s="789">
        <f>M49-R49</f>
        <v>1176.1031197502775</v>
      </c>
      <c r="T49" s="789"/>
      <c r="U49" s="810"/>
      <c r="V49" s="811">
        <f>SUM(V47:V48)</f>
        <v>783364</v>
      </c>
      <c r="W49" s="811"/>
      <c r="X49" s="811"/>
      <c r="Y49" s="811"/>
      <c r="Z49" s="811"/>
      <c r="AA49" s="811"/>
      <c r="AB49" s="811"/>
      <c r="AC49" s="811">
        <f>-AC47</f>
        <v>3225.6475</v>
      </c>
      <c r="AD49" s="811">
        <f>AC49</f>
        <v>3225.6475</v>
      </c>
      <c r="AE49" s="811"/>
      <c r="AF49" s="811"/>
      <c r="AG49" s="811">
        <v>1907</v>
      </c>
      <c r="AH49" s="811">
        <f>AD49-AG49</f>
        <v>1318.6475</v>
      </c>
      <c r="AI49" s="811"/>
      <c r="AJ49" s="812"/>
      <c r="AK49" s="812"/>
    </row>
    <row r="50" spans="1:40" ht="9.75" customHeight="1">
      <c r="A50" s="804"/>
      <c r="B50" s="805"/>
      <c r="C50" s="806"/>
      <c r="D50" s="806"/>
      <c r="E50" s="806"/>
      <c r="F50" s="806"/>
      <c r="G50" s="806"/>
      <c r="H50" s="806"/>
      <c r="I50" s="806"/>
      <c r="J50" s="806"/>
      <c r="K50" s="806"/>
      <c r="L50" s="806"/>
      <c r="M50" s="806"/>
      <c r="N50" s="806"/>
      <c r="O50" s="806"/>
      <c r="P50" s="806"/>
      <c r="Q50" s="806"/>
      <c r="R50" s="806"/>
      <c r="S50" s="806"/>
      <c r="T50" s="806"/>
      <c r="U50" s="828"/>
      <c r="V50" s="828"/>
      <c r="W50" s="828"/>
      <c r="X50" s="828"/>
      <c r="Y50" s="828"/>
      <c r="Z50" s="828"/>
      <c r="AA50" s="828"/>
      <c r="AB50" s="828"/>
      <c r="AC50" s="829"/>
      <c r="AD50" s="829"/>
      <c r="AE50" s="829"/>
      <c r="AF50" s="828"/>
      <c r="AG50" s="828"/>
      <c r="AH50" s="828"/>
      <c r="AI50" s="828"/>
      <c r="AJ50" s="828"/>
      <c r="AK50" s="830"/>
    </row>
    <row r="51" spans="1:40" ht="38.25" customHeight="1">
      <c r="A51" s="826" t="s">
        <v>669</v>
      </c>
      <c r="B51" s="785">
        <f t="shared" ref="B51:G51" si="68">SUM(B47:B49)</f>
        <v>185</v>
      </c>
      <c r="C51" s="786">
        <f t="shared" si="68"/>
        <v>0</v>
      </c>
      <c r="D51" s="786">
        <f t="shared" si="68"/>
        <v>602139.02571158332</v>
      </c>
      <c r="E51" s="799"/>
      <c r="F51" s="799">
        <f t="shared" si="68"/>
        <v>139018.10260273973</v>
      </c>
      <c r="G51" s="799">
        <f t="shared" si="68"/>
        <v>741157.12831432302</v>
      </c>
      <c r="H51" s="799"/>
      <c r="I51" s="799"/>
      <c r="J51" s="799"/>
      <c r="K51" s="799"/>
      <c r="L51" s="799">
        <f>L49+L47</f>
        <v>0</v>
      </c>
      <c r="M51" s="800">
        <f>M49+M47</f>
        <v>1211641.2479001109</v>
      </c>
      <c r="N51" s="800"/>
      <c r="O51" s="801"/>
      <c r="P51" s="799"/>
      <c r="Q51" s="801"/>
      <c r="R51" s="801"/>
      <c r="S51" s="801"/>
      <c r="T51" s="801"/>
      <c r="U51" s="810"/>
      <c r="V51" s="811">
        <f>SUM(V47:V48)</f>
        <v>783364</v>
      </c>
      <c r="W51" s="811"/>
      <c r="X51" s="811"/>
      <c r="Y51" s="811"/>
      <c r="Z51" s="811"/>
      <c r="AA51" s="811"/>
      <c r="AB51" s="811"/>
      <c r="AC51" s="811">
        <f>SUM(AC47:AC49)</f>
        <v>0</v>
      </c>
      <c r="AD51" s="811">
        <f>SUM(AD47:AD49)</f>
        <v>1290259</v>
      </c>
      <c r="AE51" s="811">
        <f>SUM(AE47:AE48)</f>
        <v>-20545</v>
      </c>
      <c r="AF51" s="831"/>
      <c r="AG51" s="831"/>
      <c r="AH51" s="831"/>
      <c r="AI51" s="831"/>
      <c r="AJ51" s="812"/>
      <c r="AK51" s="812"/>
    </row>
    <row r="52" spans="1:40" ht="15" customHeight="1"/>
    <row r="53" spans="1:40" ht="43.5" customHeight="1">
      <c r="A53" s="824"/>
      <c r="B53" s="1751"/>
      <c r="C53" s="1751"/>
      <c r="D53" s="1751"/>
      <c r="E53" s="1751"/>
      <c r="F53" s="1751"/>
      <c r="G53" s="1751"/>
      <c r="H53" s="1751"/>
      <c r="I53" s="1751"/>
      <c r="J53" s="1751"/>
      <c r="K53" s="1751"/>
      <c r="L53" s="1751"/>
      <c r="M53" s="1751"/>
      <c r="N53" s="1751"/>
      <c r="O53" s="1751"/>
      <c r="P53" s="1751"/>
      <c r="Q53" s="1751"/>
      <c r="R53" s="1751"/>
      <c r="S53" s="1751"/>
      <c r="T53" s="1751"/>
      <c r="U53" s="1751"/>
    </row>
    <row r="54" spans="1:40" ht="28.5" customHeight="1">
      <c r="A54" s="818"/>
      <c r="B54" s="818"/>
    </row>
    <row r="55" spans="1:40" ht="12.75"/>
    <row r="56" spans="1:40" ht="69" customHeight="1">
      <c r="A56" s="819" t="s">
        <v>670</v>
      </c>
      <c r="C56" s="819"/>
      <c r="D56" s="819"/>
      <c r="E56" s="819"/>
      <c r="F56" s="819"/>
      <c r="G56" s="819"/>
      <c r="H56" s="1724" t="s">
        <v>156</v>
      </c>
      <c r="I56" s="1725"/>
      <c r="J56" s="1726"/>
      <c r="K56" s="616"/>
      <c r="W56" s="1748" t="s">
        <v>544</v>
      </c>
      <c r="X56" s="1749"/>
      <c r="Y56" s="1749"/>
      <c r="Z56" s="1749"/>
      <c r="AA56" s="1750"/>
      <c r="AB56" s="777"/>
    </row>
    <row r="57" spans="1:40" ht="60.75" customHeight="1">
      <c r="A57" s="1765" t="s">
        <v>671</v>
      </c>
      <c r="B57" s="1761" t="s">
        <v>672</v>
      </c>
      <c r="C57" s="1761" t="s">
        <v>619</v>
      </c>
      <c r="D57" s="1757" t="s">
        <v>620</v>
      </c>
      <c r="E57" s="1762" t="s">
        <v>621</v>
      </c>
      <c r="F57" s="1734" t="s">
        <v>622</v>
      </c>
      <c r="G57" s="1757" t="s">
        <v>623</v>
      </c>
      <c r="H57" s="1652" t="s">
        <v>552</v>
      </c>
      <c r="I57" s="1652" t="s">
        <v>553</v>
      </c>
      <c r="J57" s="1652" t="s">
        <v>554</v>
      </c>
      <c r="K57" s="1652" t="s">
        <v>555</v>
      </c>
      <c r="L57" s="1688" t="s">
        <v>649</v>
      </c>
      <c r="M57" s="1757" t="s">
        <v>625</v>
      </c>
      <c r="N57" s="1752" t="s">
        <v>650</v>
      </c>
      <c r="O57" s="1757" t="s">
        <v>627</v>
      </c>
      <c r="P57" s="1713" t="s">
        <v>442</v>
      </c>
      <c r="Q57" s="1757" t="s">
        <v>628</v>
      </c>
      <c r="R57" s="1661" t="s">
        <v>444</v>
      </c>
      <c r="S57" s="1661" t="s">
        <v>445</v>
      </c>
      <c r="T57" s="1661" t="s">
        <v>629</v>
      </c>
      <c r="U57" s="1711" t="s">
        <v>661</v>
      </c>
      <c r="V57" s="1711" t="s">
        <v>565</v>
      </c>
      <c r="W57" s="1661" t="s">
        <v>566</v>
      </c>
      <c r="X57" s="1661" t="s">
        <v>567</v>
      </c>
      <c r="Y57" s="1661" t="s">
        <v>568</v>
      </c>
      <c r="Z57" s="1661" t="s">
        <v>569</v>
      </c>
      <c r="AA57" s="1661" t="s">
        <v>570</v>
      </c>
      <c r="AB57" s="1733" t="s">
        <v>571</v>
      </c>
      <c r="AC57" s="1756" t="s">
        <v>631</v>
      </c>
      <c r="AD57" s="1754" t="s">
        <v>632</v>
      </c>
      <c r="AE57" s="1752" t="s">
        <v>633</v>
      </c>
      <c r="AF57" s="1754" t="s">
        <v>634</v>
      </c>
      <c r="AG57" s="1754" t="s">
        <v>574</v>
      </c>
      <c r="AH57" s="1754" t="s">
        <v>445</v>
      </c>
      <c r="AI57" s="1754" t="s">
        <v>635</v>
      </c>
      <c r="AJ57" s="1731" t="s">
        <v>576</v>
      </c>
      <c r="AK57" s="1731" t="s">
        <v>577</v>
      </c>
    </row>
    <row r="58" spans="1:40" ht="102" customHeight="1">
      <c r="A58" s="1766"/>
      <c r="B58" s="1761"/>
      <c r="C58" s="1761"/>
      <c r="D58" s="1757"/>
      <c r="E58" s="1762"/>
      <c r="F58" s="1735"/>
      <c r="G58" s="1757"/>
      <c r="H58" s="1663"/>
      <c r="I58" s="1663"/>
      <c r="J58" s="1663"/>
      <c r="K58" s="1663"/>
      <c r="L58" s="1657"/>
      <c r="M58" s="1757"/>
      <c r="N58" s="1753"/>
      <c r="O58" s="1757"/>
      <c r="P58" s="1758"/>
      <c r="Q58" s="1757"/>
      <c r="R58" s="1663"/>
      <c r="S58" s="1663"/>
      <c r="T58" s="1663"/>
      <c r="U58" s="1712"/>
      <c r="V58" s="1712"/>
      <c r="W58" s="1663"/>
      <c r="X58" s="1663"/>
      <c r="Y58" s="1663"/>
      <c r="Z58" s="1663"/>
      <c r="AA58" s="1663"/>
      <c r="AB58" s="1733"/>
      <c r="AC58" s="1712"/>
      <c r="AD58" s="1755"/>
      <c r="AE58" s="1753"/>
      <c r="AF58" s="1755"/>
      <c r="AG58" s="1755"/>
      <c r="AH58" s="1755"/>
      <c r="AI58" s="1755"/>
      <c r="AJ58" s="1732"/>
      <c r="AK58" s="1732"/>
      <c r="AL58" s="778" t="s">
        <v>636</v>
      </c>
      <c r="AM58" s="778" t="s">
        <v>637</v>
      </c>
      <c r="AN58" s="1513" t="s">
        <v>638</v>
      </c>
    </row>
    <row r="59" spans="1:40" ht="12.75">
      <c r="A59" s="779"/>
      <c r="B59" s="780">
        <v>1</v>
      </c>
      <c r="C59" s="781">
        <f>B59+1</f>
        <v>2</v>
      </c>
      <c r="D59" s="781">
        <f>C59+1</f>
        <v>3</v>
      </c>
      <c r="E59" s="781">
        <f>D59+1</f>
        <v>4</v>
      </c>
      <c r="F59" s="781">
        <f>E59+1</f>
        <v>5</v>
      </c>
      <c r="G59" s="781">
        <f t="shared" ref="G59:AK59" si="69">F59+1</f>
        <v>6</v>
      </c>
      <c r="H59" s="781">
        <f t="shared" si="69"/>
        <v>7</v>
      </c>
      <c r="I59" s="781">
        <f t="shared" si="69"/>
        <v>8</v>
      </c>
      <c r="J59" s="781">
        <f t="shared" si="69"/>
        <v>9</v>
      </c>
      <c r="K59" s="781">
        <f t="shared" si="69"/>
        <v>10</v>
      </c>
      <c r="L59" s="781">
        <f t="shared" si="69"/>
        <v>11</v>
      </c>
      <c r="M59" s="781">
        <f t="shared" si="69"/>
        <v>12</v>
      </c>
      <c r="N59" s="781">
        <f t="shared" si="69"/>
        <v>13</v>
      </c>
      <c r="O59" s="781">
        <f t="shared" si="69"/>
        <v>14</v>
      </c>
      <c r="P59" s="781">
        <f t="shared" si="69"/>
        <v>15</v>
      </c>
      <c r="Q59" s="781">
        <f t="shared" si="69"/>
        <v>16</v>
      </c>
      <c r="R59" s="781">
        <f t="shared" si="69"/>
        <v>17</v>
      </c>
      <c r="S59" s="781">
        <f t="shared" si="69"/>
        <v>18</v>
      </c>
      <c r="T59" s="781">
        <f t="shared" si="69"/>
        <v>19</v>
      </c>
      <c r="U59" s="781">
        <f t="shared" si="69"/>
        <v>20</v>
      </c>
      <c r="V59" s="781">
        <f t="shared" si="69"/>
        <v>21</v>
      </c>
      <c r="W59" s="781">
        <f t="shared" si="69"/>
        <v>22</v>
      </c>
      <c r="X59" s="781">
        <f t="shared" si="69"/>
        <v>23</v>
      </c>
      <c r="Y59" s="781">
        <f t="shared" si="69"/>
        <v>24</v>
      </c>
      <c r="Z59" s="781">
        <f t="shared" si="69"/>
        <v>25</v>
      </c>
      <c r="AA59" s="781">
        <f t="shared" si="69"/>
        <v>26</v>
      </c>
      <c r="AB59" s="781">
        <f t="shared" si="69"/>
        <v>27</v>
      </c>
      <c r="AC59" s="781">
        <f t="shared" si="69"/>
        <v>28</v>
      </c>
      <c r="AD59" s="781">
        <f t="shared" si="69"/>
        <v>29</v>
      </c>
      <c r="AE59" s="781">
        <f t="shared" si="69"/>
        <v>30</v>
      </c>
      <c r="AF59" s="781">
        <f t="shared" si="69"/>
        <v>31</v>
      </c>
      <c r="AG59" s="781">
        <f t="shared" si="69"/>
        <v>32</v>
      </c>
      <c r="AH59" s="781">
        <f t="shared" si="69"/>
        <v>33</v>
      </c>
      <c r="AI59" s="781">
        <f t="shared" si="69"/>
        <v>34</v>
      </c>
      <c r="AJ59" s="781">
        <f t="shared" si="69"/>
        <v>35</v>
      </c>
      <c r="AK59" s="781">
        <f t="shared" si="69"/>
        <v>36</v>
      </c>
      <c r="AL59" s="820"/>
      <c r="AM59" s="820"/>
      <c r="AN59" s="1519"/>
    </row>
    <row r="60" spans="1:40" ht="28.5" customHeight="1">
      <c r="A60" s="826" t="s">
        <v>662</v>
      </c>
      <c r="B60" s="785">
        <v>75</v>
      </c>
      <c r="C60" s="786">
        <f>'Table 3 Levels 1&amp;2'!AL43</f>
        <v>3252.0270959716217</v>
      </c>
      <c r="D60" s="786">
        <f>B60*C60</f>
        <v>243902.03219787162</v>
      </c>
      <c r="E60" s="787">
        <f>'Table 5B1_RSD_Orleans'!F70</f>
        <v>746.0335616438357</v>
      </c>
      <c r="F60" s="787">
        <f>E60*B60</f>
        <v>55952.517123287675</v>
      </c>
      <c r="G60" s="787">
        <f>D60+F60</f>
        <v>299854.54932115931</v>
      </c>
      <c r="H60" s="787">
        <f>'October midyear adj'!K121</f>
        <v>-91955.395125155512</v>
      </c>
      <c r="I60" s="787">
        <f>'February midyear adj '!K122</f>
        <v>15992.242630461829</v>
      </c>
      <c r="J60" s="787">
        <f>H60+I60</f>
        <v>-75963.152494693684</v>
      </c>
      <c r="K60" s="787">
        <f t="shared" ref="K60:K64" si="70">SUM(G60:I60)</f>
        <v>223891.39682646564</v>
      </c>
      <c r="L60" s="787">
        <f>-(0.25%*K60)</f>
        <v>-559.72849206616411</v>
      </c>
      <c r="M60" s="788">
        <f>K60+L60</f>
        <v>223331.66833439947</v>
      </c>
      <c r="N60" s="788">
        <v>0</v>
      </c>
      <c r="O60" s="789">
        <f>SUM(M60:N60)</f>
        <v>223331.66833439947</v>
      </c>
      <c r="P60" s="787">
        <v>0</v>
      </c>
      <c r="Q60" s="789">
        <f>O60+P60</f>
        <v>223331.66833439947</v>
      </c>
      <c r="R60" s="789">
        <f>24925+ (41240)+36056+36056+36056+36056+36056+36056</f>
        <v>282501</v>
      </c>
      <c r="S60" s="789">
        <f>Q60-R60</f>
        <v>-59169.331665600534</v>
      </c>
      <c r="T60" s="789">
        <f>S60/4</f>
        <v>-14792.332916400133</v>
      </c>
      <c r="U60" s="790">
        <f>'[11]FY2011-12_Final'!$D$43</f>
        <v>4207</v>
      </c>
      <c r="V60" s="791">
        <f>U60*B60</f>
        <v>315525</v>
      </c>
      <c r="W60" s="792">
        <f>'October midyear adj'!E121</f>
        <v>-23</v>
      </c>
      <c r="X60" s="791">
        <f>W60*U60</f>
        <v>-96761</v>
      </c>
      <c r="Y60" s="792">
        <f>'February midyear adj '!E122</f>
        <v>8</v>
      </c>
      <c r="Z60" s="791">
        <f>(U60*0.5)*Y60</f>
        <v>16828</v>
      </c>
      <c r="AA60" s="791">
        <f>X60+Z60</f>
        <v>-79933</v>
      </c>
      <c r="AB60" s="791">
        <f t="shared" ref="AB60:AB64" si="71">V60+X60+Z60</f>
        <v>235592</v>
      </c>
      <c r="AC60" s="791">
        <f>AB60*-0.25%</f>
        <v>-588.98</v>
      </c>
      <c r="AD60" s="791">
        <f>SUM(AB60:AC60)</f>
        <v>235003.02</v>
      </c>
      <c r="AE60" s="790">
        <v>0</v>
      </c>
      <c r="AF60" s="791">
        <f>SUM(AD60:AE60)</f>
        <v>235003.02</v>
      </c>
      <c r="AG60" s="791">
        <f>25461+ (42127)+36831+36831+36831+36831+36831+36831</f>
        <v>288574</v>
      </c>
      <c r="AH60" s="791">
        <f>AF60-AG60</f>
        <v>-53570.98000000001</v>
      </c>
      <c r="AI60" s="791">
        <f>AH60/4</f>
        <v>-13392.745000000003</v>
      </c>
      <c r="AJ60" s="793">
        <f>Q60+AF60</f>
        <v>458334.68833439949</v>
      </c>
      <c r="AK60" s="793">
        <f>T60+AI60</f>
        <v>-28185.077916400136</v>
      </c>
      <c r="AL60" s="820">
        <f>AC60</f>
        <v>-588.98</v>
      </c>
      <c r="AM60" s="820">
        <v>766</v>
      </c>
      <c r="AN60" s="1519">
        <f t="shared" ref="AN60:AN64" si="72">SUM(AL60:AM60)</f>
        <v>177.01999999999998</v>
      </c>
    </row>
    <row r="61" spans="1:40" ht="28.5" customHeight="1">
      <c r="A61" s="826" t="s">
        <v>663</v>
      </c>
      <c r="B61" s="785">
        <v>0</v>
      </c>
      <c r="C61" s="786">
        <f>'Table 3 Levels 1&amp;2'!AL33</f>
        <v>3150.3479009796833</v>
      </c>
      <c r="D61" s="786">
        <f>B61*C61</f>
        <v>0</v>
      </c>
      <c r="E61" s="787">
        <f>'Table 4 Level 3'!P31</f>
        <v>836.83</v>
      </c>
      <c r="F61" s="787">
        <f>E61*B61</f>
        <v>0</v>
      </c>
      <c r="G61" s="787">
        <f>D61+F61</f>
        <v>0</v>
      </c>
      <c r="H61" s="787">
        <f>'October midyear adj'!K122</f>
        <v>199358.89504898415</v>
      </c>
      <c r="I61" s="787">
        <f>'February midyear adj '!K123</f>
        <v>-19935.889504898416</v>
      </c>
      <c r="J61" s="787">
        <f>H61+I61</f>
        <v>179423.00554408572</v>
      </c>
      <c r="K61" s="787">
        <f t="shared" si="70"/>
        <v>179423.00554408572</v>
      </c>
      <c r="L61" s="787">
        <f>-(0.25%*K61)</f>
        <v>-448.55751386021433</v>
      </c>
      <c r="M61" s="788">
        <f>K61+L61</f>
        <v>178974.44803022553</v>
      </c>
      <c r="N61" s="788">
        <v>0</v>
      </c>
      <c r="O61" s="789">
        <f>SUM(M61:N61)</f>
        <v>178974.44803022553</v>
      </c>
      <c r="P61" s="787">
        <v>0</v>
      </c>
      <c r="Q61" s="789">
        <f>O61+P61</f>
        <v>178974.44803022553</v>
      </c>
      <c r="R61" s="789">
        <v>0</v>
      </c>
      <c r="S61" s="789">
        <f>Q61-R61</f>
        <v>178974.44803022553</v>
      </c>
      <c r="T61" s="789">
        <f>S61/4</f>
        <v>44743.612007556381</v>
      </c>
      <c r="U61" s="790">
        <f>'[11]FY2011-12_Final'!$D$33</f>
        <v>4648</v>
      </c>
      <c r="V61" s="791">
        <f>U61*B61</f>
        <v>0</v>
      </c>
      <c r="W61" s="792">
        <f>'October midyear adj'!E122</f>
        <v>50</v>
      </c>
      <c r="X61" s="791">
        <f>W61*U61</f>
        <v>232400</v>
      </c>
      <c r="Y61" s="792">
        <f>'February midyear adj '!E123</f>
        <v>-10</v>
      </c>
      <c r="Z61" s="791">
        <f>(U61*0.5)*Y61</f>
        <v>-23240</v>
      </c>
      <c r="AA61" s="791">
        <f t="shared" ref="AA61:AA64" si="73">X61+Z61</f>
        <v>209160</v>
      </c>
      <c r="AB61" s="791">
        <f t="shared" si="71"/>
        <v>209160</v>
      </c>
      <c r="AC61" s="791">
        <f t="shared" ref="AC61:AC64" si="74">AB61*-0.25%</f>
        <v>-522.9</v>
      </c>
      <c r="AD61" s="791">
        <f t="shared" ref="AD61:AD64" si="75">SUM(AB61:AC61)</f>
        <v>208637.1</v>
      </c>
      <c r="AE61" s="790">
        <v>0</v>
      </c>
      <c r="AF61" s="791">
        <f>SUM(AD61:AE61)</f>
        <v>208637.1</v>
      </c>
      <c r="AG61" s="791">
        <v>0</v>
      </c>
      <c r="AH61" s="791">
        <f>AF61-AG61</f>
        <v>208637.1</v>
      </c>
      <c r="AI61" s="791">
        <f>AH61/4</f>
        <v>52159.275000000001</v>
      </c>
      <c r="AJ61" s="793">
        <f>Q61+AF61</f>
        <v>387611.54803022556</v>
      </c>
      <c r="AK61" s="793">
        <f>T61+AI61</f>
        <v>96902.88700755639</v>
      </c>
      <c r="AL61" s="820">
        <f t="shared" ref="AL61:AL64" si="76">AC61</f>
        <v>-522.9</v>
      </c>
      <c r="AM61" s="820">
        <v>0</v>
      </c>
      <c r="AN61" s="1519">
        <f t="shared" si="72"/>
        <v>-522.9</v>
      </c>
    </row>
    <row r="62" spans="1:40" ht="28.5" customHeight="1">
      <c r="A62" s="826" t="s">
        <v>673</v>
      </c>
      <c r="B62" s="785">
        <v>0</v>
      </c>
      <c r="C62" s="786">
        <f>'Table 3 Levels 1&amp;2'!AL45</f>
        <v>2396.5582752145924</v>
      </c>
      <c r="D62" s="786">
        <f t="shared" ref="D62:D64" si="77">B62*C62</f>
        <v>0</v>
      </c>
      <c r="E62" s="787">
        <f>'Table 4 Level 3'!P43</f>
        <v>829.92000000000007</v>
      </c>
      <c r="F62" s="787">
        <f t="shared" ref="F62:F64" si="78">E62*B62</f>
        <v>0</v>
      </c>
      <c r="G62" s="787">
        <f t="shared" ref="G62:G64" si="79">D62+F62</f>
        <v>0</v>
      </c>
      <c r="H62" s="787">
        <v>0</v>
      </c>
      <c r="I62" s="787">
        <f>'February midyear adj '!K124</f>
        <v>1613.2391376072962</v>
      </c>
      <c r="J62" s="787">
        <f t="shared" ref="J62:J64" si="80">H62+I62</f>
        <v>1613.2391376072962</v>
      </c>
      <c r="K62" s="787">
        <f t="shared" si="70"/>
        <v>1613.2391376072962</v>
      </c>
      <c r="L62" s="787">
        <f t="shared" ref="L62:L64" si="81">-(0.25%*K62)</f>
        <v>-4.0330978440182408</v>
      </c>
      <c r="M62" s="788">
        <f t="shared" ref="M62:M64" si="82">K62+L62</f>
        <v>1609.2060397632781</v>
      </c>
      <c r="N62" s="788">
        <v>0</v>
      </c>
      <c r="O62" s="789">
        <f t="shared" ref="O62:O64" si="83">SUM(M62:N62)</f>
        <v>1609.2060397632781</v>
      </c>
      <c r="P62" s="787">
        <v>0</v>
      </c>
      <c r="Q62" s="789">
        <f t="shared" ref="Q62:Q64" si="84">O62+P62</f>
        <v>1609.2060397632781</v>
      </c>
      <c r="R62" s="789">
        <v>0</v>
      </c>
      <c r="S62" s="789">
        <f t="shared" ref="S62:S64" si="85">Q62-R62</f>
        <v>1609.2060397632781</v>
      </c>
      <c r="T62" s="789">
        <f t="shared" ref="T62:T64" si="86">S62/4</f>
        <v>402.30150994081953</v>
      </c>
      <c r="U62" s="790">
        <f>'[11]FY2011-12_Final'!$D$45</f>
        <v>11424</v>
      </c>
      <c r="V62" s="791">
        <f>U62*B62</f>
        <v>0</v>
      </c>
      <c r="W62" s="792">
        <v>0</v>
      </c>
      <c r="X62" s="791">
        <f>W62*U62</f>
        <v>0</v>
      </c>
      <c r="Y62" s="792">
        <f>'February midyear adj '!E124</f>
        <v>1</v>
      </c>
      <c r="Z62" s="791">
        <f>(U62*0.5)*Y62</f>
        <v>5712</v>
      </c>
      <c r="AA62" s="791">
        <f t="shared" si="73"/>
        <v>5712</v>
      </c>
      <c r="AB62" s="791">
        <f t="shared" si="71"/>
        <v>5712</v>
      </c>
      <c r="AC62" s="791">
        <f t="shared" si="74"/>
        <v>-14.280000000000001</v>
      </c>
      <c r="AD62" s="791">
        <f t="shared" si="75"/>
        <v>5697.72</v>
      </c>
      <c r="AE62" s="790">
        <v>0</v>
      </c>
      <c r="AF62" s="791">
        <f t="shared" ref="AF62:AF64" si="87">SUM(AD62:AE62)</f>
        <v>5697.72</v>
      </c>
      <c r="AG62" s="791">
        <v>0</v>
      </c>
      <c r="AH62" s="791">
        <f t="shared" ref="AH62:AH64" si="88">AF62-AG62</f>
        <v>5697.72</v>
      </c>
      <c r="AI62" s="791">
        <f t="shared" ref="AI62:AI64" si="89">AH62/4</f>
        <v>1424.43</v>
      </c>
      <c r="AJ62" s="793">
        <f>Q62+AF62</f>
        <v>7306.9260397632788</v>
      </c>
      <c r="AK62" s="793">
        <f>T62+AI62</f>
        <v>1826.7315099408197</v>
      </c>
      <c r="AL62" s="820">
        <f t="shared" si="76"/>
        <v>-14.280000000000001</v>
      </c>
      <c r="AM62" s="820">
        <v>0</v>
      </c>
      <c r="AN62" s="1519">
        <f t="shared" si="72"/>
        <v>-14.280000000000001</v>
      </c>
    </row>
    <row r="63" spans="1:40" ht="28.5" customHeight="1">
      <c r="A63" s="826" t="s">
        <v>665</v>
      </c>
      <c r="B63" s="785">
        <v>0</v>
      </c>
      <c r="C63" s="786">
        <f>'Table 3 Levels 1&amp;2'!AL52</f>
        <v>2430.4793213149524</v>
      </c>
      <c r="D63" s="786">
        <f t="shared" si="77"/>
        <v>0</v>
      </c>
      <c r="E63" s="787">
        <f>'Table 4 Level 3'!P50</f>
        <v>753.96000000000015</v>
      </c>
      <c r="F63" s="787">
        <f t="shared" si="78"/>
        <v>0</v>
      </c>
      <c r="G63" s="787">
        <f t="shared" si="79"/>
        <v>0</v>
      </c>
      <c r="H63" s="787">
        <v>0</v>
      </c>
      <c r="I63" s="787">
        <f>'February midyear adj '!K125</f>
        <v>1592.2196606574762</v>
      </c>
      <c r="J63" s="787">
        <f t="shared" si="80"/>
        <v>1592.2196606574762</v>
      </c>
      <c r="K63" s="787">
        <f t="shared" si="70"/>
        <v>1592.2196606574762</v>
      </c>
      <c r="L63" s="787">
        <f t="shared" si="81"/>
        <v>-3.9805491516436904</v>
      </c>
      <c r="M63" s="788">
        <f t="shared" si="82"/>
        <v>1588.2391115058324</v>
      </c>
      <c r="N63" s="788">
        <v>0</v>
      </c>
      <c r="O63" s="789">
        <f t="shared" si="83"/>
        <v>1588.2391115058324</v>
      </c>
      <c r="P63" s="787">
        <v>0</v>
      </c>
      <c r="Q63" s="789">
        <f t="shared" si="84"/>
        <v>1588.2391115058324</v>
      </c>
      <c r="R63" s="789">
        <v>0</v>
      </c>
      <c r="S63" s="789">
        <f t="shared" si="85"/>
        <v>1588.2391115058324</v>
      </c>
      <c r="T63" s="789">
        <f t="shared" si="86"/>
        <v>397.0597778764581</v>
      </c>
      <c r="U63" s="790">
        <f>'[11]FY2011-12_Final'!$D$52</f>
        <v>9563</v>
      </c>
      <c r="V63" s="791">
        <f>U63*B63</f>
        <v>0</v>
      </c>
      <c r="W63" s="792">
        <v>0</v>
      </c>
      <c r="X63" s="791">
        <f>W63*U63</f>
        <v>0</v>
      </c>
      <c r="Y63" s="792">
        <f>'February midyear adj '!E125</f>
        <v>1</v>
      </c>
      <c r="Z63" s="791">
        <f>(U63*0.5)*Y63</f>
        <v>4781.5</v>
      </c>
      <c r="AA63" s="791">
        <f t="shared" si="73"/>
        <v>4781.5</v>
      </c>
      <c r="AB63" s="791">
        <f t="shared" si="71"/>
        <v>4781.5</v>
      </c>
      <c r="AC63" s="791">
        <f t="shared" si="74"/>
        <v>-11.953749999999999</v>
      </c>
      <c r="AD63" s="791">
        <f t="shared" si="75"/>
        <v>4769.5462500000003</v>
      </c>
      <c r="AE63" s="790">
        <v>0</v>
      </c>
      <c r="AF63" s="791">
        <f t="shared" si="87"/>
        <v>4769.5462500000003</v>
      </c>
      <c r="AG63" s="791">
        <v>0</v>
      </c>
      <c r="AH63" s="791">
        <f t="shared" si="88"/>
        <v>4769.5462500000003</v>
      </c>
      <c r="AI63" s="791">
        <f t="shared" si="89"/>
        <v>1192.3865625000001</v>
      </c>
      <c r="AJ63" s="793">
        <f>Q63+AF63</f>
        <v>6357.785361505833</v>
      </c>
      <c r="AK63" s="793">
        <f>T63+AI63</f>
        <v>1589.4463403764582</v>
      </c>
      <c r="AL63" s="820">
        <f t="shared" si="76"/>
        <v>-11.953749999999999</v>
      </c>
      <c r="AM63" s="820">
        <v>0</v>
      </c>
      <c r="AN63" s="1519">
        <f t="shared" si="72"/>
        <v>-11.953749999999999</v>
      </c>
    </row>
    <row r="64" spans="1:40" ht="28.5" customHeight="1">
      <c r="A64" s="826" t="s">
        <v>667</v>
      </c>
      <c r="B64" s="785">
        <v>0</v>
      </c>
      <c r="C64" s="786">
        <f>'Table 3 Levels 1&amp;2'!AL59</f>
        <v>4986.190392708143</v>
      </c>
      <c r="D64" s="786">
        <f t="shared" si="77"/>
        <v>0</v>
      </c>
      <c r="E64" s="787">
        <f>'Table 4 Level 3'!P57</f>
        <v>658.37</v>
      </c>
      <c r="F64" s="787">
        <f t="shared" si="78"/>
        <v>0</v>
      </c>
      <c r="G64" s="787">
        <f t="shared" si="79"/>
        <v>0</v>
      </c>
      <c r="H64" s="787">
        <v>0</v>
      </c>
      <c r="I64" s="787">
        <f>'February midyear adj '!K126</f>
        <v>2822.2801963540714</v>
      </c>
      <c r="J64" s="787">
        <f t="shared" si="80"/>
        <v>2822.2801963540714</v>
      </c>
      <c r="K64" s="787">
        <f t="shared" si="70"/>
        <v>2822.2801963540714</v>
      </c>
      <c r="L64" s="787">
        <f t="shared" si="81"/>
        <v>-7.0557004908851786</v>
      </c>
      <c r="M64" s="788">
        <f t="shared" si="82"/>
        <v>2815.2244958631863</v>
      </c>
      <c r="N64" s="788">
        <v>0</v>
      </c>
      <c r="O64" s="789">
        <f t="shared" si="83"/>
        <v>2815.2244958631863</v>
      </c>
      <c r="P64" s="787">
        <v>0</v>
      </c>
      <c r="Q64" s="789">
        <f t="shared" si="84"/>
        <v>2815.2244958631863</v>
      </c>
      <c r="R64" s="789">
        <v>0</v>
      </c>
      <c r="S64" s="789">
        <f t="shared" si="85"/>
        <v>2815.2244958631863</v>
      </c>
      <c r="T64" s="789">
        <f t="shared" si="86"/>
        <v>703.80612396579659</v>
      </c>
      <c r="U64" s="790">
        <f>'[11]FY2011-12_Final'!$D$59</f>
        <v>3984</v>
      </c>
      <c r="V64" s="791">
        <f>U64*B64</f>
        <v>0</v>
      </c>
      <c r="W64" s="792">
        <v>0</v>
      </c>
      <c r="X64" s="791">
        <f>W64*U64</f>
        <v>0</v>
      </c>
      <c r="Y64" s="792">
        <f>'February midyear adj '!E126</f>
        <v>1</v>
      </c>
      <c r="Z64" s="791">
        <f>(U64*0.5)*Y64</f>
        <v>1992</v>
      </c>
      <c r="AA64" s="791">
        <f t="shared" si="73"/>
        <v>1992</v>
      </c>
      <c r="AB64" s="791">
        <f t="shared" si="71"/>
        <v>1992</v>
      </c>
      <c r="AC64" s="791">
        <f t="shared" si="74"/>
        <v>-4.9800000000000004</v>
      </c>
      <c r="AD64" s="791">
        <f t="shared" si="75"/>
        <v>1987.02</v>
      </c>
      <c r="AE64" s="790">
        <v>0</v>
      </c>
      <c r="AF64" s="791">
        <f t="shared" si="87"/>
        <v>1987.02</v>
      </c>
      <c r="AG64" s="791">
        <v>0</v>
      </c>
      <c r="AH64" s="791">
        <f t="shared" si="88"/>
        <v>1987.02</v>
      </c>
      <c r="AI64" s="791">
        <f t="shared" si="89"/>
        <v>496.755</v>
      </c>
      <c r="AJ64" s="793">
        <f>Q64+AF64</f>
        <v>4802.2444958631859</v>
      </c>
      <c r="AK64" s="793">
        <f>T64+AI64</f>
        <v>1200.5611239657965</v>
      </c>
      <c r="AL64" s="820">
        <f t="shared" si="76"/>
        <v>-4.9800000000000004</v>
      </c>
      <c r="AM64" s="820">
        <v>0</v>
      </c>
      <c r="AN64" s="1519">
        <f t="shared" si="72"/>
        <v>-4.9800000000000004</v>
      </c>
    </row>
    <row r="65" spans="1:42" ht="28.5" customHeight="1">
      <c r="A65" s="827" t="s">
        <v>674</v>
      </c>
      <c r="B65" s="797">
        <f>SUM(B60:B64)</f>
        <v>75</v>
      </c>
      <c r="C65" s="798"/>
      <c r="D65" s="798">
        <f>SUM(D60:D64)</f>
        <v>243902.03219787162</v>
      </c>
      <c r="E65" s="798"/>
      <c r="F65" s="798">
        <f>SUM(F60:F64)</f>
        <v>55952.517123287675</v>
      </c>
      <c r="G65" s="798">
        <f t="shared" ref="G65:T65" si="90">SUM(G60:G64)</f>
        <v>299854.54932115931</v>
      </c>
      <c r="H65" s="799">
        <f t="shared" si="90"/>
        <v>107403.49992382864</v>
      </c>
      <c r="I65" s="799">
        <f t="shared" si="90"/>
        <v>2084.0921201822575</v>
      </c>
      <c r="J65" s="799">
        <f t="shared" si="90"/>
        <v>109487.59204401087</v>
      </c>
      <c r="K65" s="799">
        <f t="shared" si="90"/>
        <v>409342.14136517019</v>
      </c>
      <c r="L65" s="799">
        <f t="shared" si="90"/>
        <v>-1023.3553534129256</v>
      </c>
      <c r="M65" s="799">
        <f t="shared" si="90"/>
        <v>408318.78601175733</v>
      </c>
      <c r="N65" s="799">
        <f t="shared" si="90"/>
        <v>0</v>
      </c>
      <c r="O65" s="801">
        <f t="shared" si="90"/>
        <v>408318.78601175733</v>
      </c>
      <c r="P65" s="799">
        <f t="shared" si="90"/>
        <v>0</v>
      </c>
      <c r="Q65" s="801">
        <f t="shared" si="90"/>
        <v>408318.78601175733</v>
      </c>
      <c r="R65" s="801">
        <f t="shared" si="90"/>
        <v>282501</v>
      </c>
      <c r="S65" s="801">
        <f t="shared" si="90"/>
        <v>125817.78601175729</v>
      </c>
      <c r="T65" s="801">
        <f t="shared" si="90"/>
        <v>31454.446502939321</v>
      </c>
      <c r="U65" s="800"/>
      <c r="V65" s="799">
        <f t="shared" ref="V65" si="91">SUM(V60:V60)</f>
        <v>315525</v>
      </c>
      <c r="W65" s="802">
        <f t="shared" ref="W65:AK65" si="92">SUM(W60:W64)</f>
        <v>27</v>
      </c>
      <c r="X65" s="799">
        <f t="shared" si="92"/>
        <v>135639</v>
      </c>
      <c r="Y65" s="802">
        <f t="shared" si="92"/>
        <v>1</v>
      </c>
      <c r="Z65" s="799">
        <f t="shared" si="92"/>
        <v>6073.5</v>
      </c>
      <c r="AA65" s="799">
        <f t="shared" si="92"/>
        <v>141712.5</v>
      </c>
      <c r="AB65" s="799">
        <f t="shared" si="92"/>
        <v>457237.5</v>
      </c>
      <c r="AC65" s="799">
        <f t="shared" si="92"/>
        <v>-1143.09375</v>
      </c>
      <c r="AD65" s="799">
        <f t="shared" si="92"/>
        <v>456094.40625</v>
      </c>
      <c r="AE65" s="799">
        <f t="shared" si="92"/>
        <v>0</v>
      </c>
      <c r="AF65" s="799">
        <f t="shared" si="92"/>
        <v>456094.40625</v>
      </c>
      <c r="AG65" s="799">
        <f t="shared" si="92"/>
        <v>288574</v>
      </c>
      <c r="AH65" s="799">
        <f t="shared" si="92"/>
        <v>167520.40625</v>
      </c>
      <c r="AI65" s="799">
        <f t="shared" si="92"/>
        <v>41880.1015625</v>
      </c>
      <c r="AJ65" s="799">
        <f t="shared" si="92"/>
        <v>864413.19226175733</v>
      </c>
      <c r="AK65" s="799">
        <f t="shared" si="92"/>
        <v>73334.548065439332</v>
      </c>
      <c r="AL65" s="820">
        <f>SUM(AL60:AL64)</f>
        <v>-1143.09375</v>
      </c>
      <c r="AM65" s="820">
        <f t="shared" ref="AM65:AN65" si="93">SUM(AM60:AM64)</f>
        <v>766</v>
      </c>
      <c r="AN65" s="1519">
        <f t="shared" si="93"/>
        <v>-377.09375</v>
      </c>
    </row>
    <row r="66" spans="1:42" ht="9.75" customHeight="1">
      <c r="A66" s="804"/>
      <c r="B66" s="805"/>
      <c r="C66" s="806"/>
      <c r="D66" s="806"/>
      <c r="E66" s="806"/>
      <c r="F66" s="806"/>
      <c r="G66" s="806"/>
      <c r="H66" s="806"/>
      <c r="I66" s="806"/>
      <c r="J66" s="806"/>
      <c r="K66" s="806"/>
      <c r="L66" s="806"/>
      <c r="M66" s="806"/>
      <c r="N66" s="806"/>
      <c r="O66" s="806"/>
      <c r="P66" s="806"/>
      <c r="Q66" s="806"/>
      <c r="R66" s="806"/>
      <c r="S66" s="806"/>
      <c r="T66" s="806"/>
      <c r="U66" s="806"/>
      <c r="V66" s="806"/>
      <c r="W66" s="806"/>
      <c r="X66" s="806"/>
      <c r="Y66" s="806"/>
      <c r="Z66" s="806"/>
      <c r="AA66" s="806"/>
      <c r="AB66" s="806"/>
      <c r="AC66" s="806"/>
      <c r="AD66" s="806"/>
      <c r="AE66" s="806"/>
      <c r="AF66" s="806"/>
      <c r="AG66" s="806"/>
      <c r="AH66" s="806"/>
      <c r="AI66" s="806"/>
      <c r="AJ66" s="806"/>
      <c r="AK66" s="807"/>
    </row>
    <row r="67" spans="1:42" ht="36" customHeight="1">
      <c r="A67" s="826" t="s">
        <v>657</v>
      </c>
      <c r="B67" s="785"/>
      <c r="C67" s="786"/>
      <c r="D67" s="786"/>
      <c r="E67" s="787"/>
      <c r="F67" s="787"/>
      <c r="G67" s="787"/>
      <c r="H67" s="787"/>
      <c r="I67" s="787"/>
      <c r="J67" s="787"/>
      <c r="K67" s="787"/>
      <c r="L67" s="787">
        <f>-L65</f>
        <v>1023.3553534129256</v>
      </c>
      <c r="M67" s="788">
        <f>L67</f>
        <v>1023.3553534129256</v>
      </c>
      <c r="N67" s="788"/>
      <c r="O67" s="789"/>
      <c r="P67" s="787"/>
      <c r="Q67" s="789"/>
      <c r="R67" s="789">
        <v>750</v>
      </c>
      <c r="S67" s="789">
        <f>M67-R67</f>
        <v>273.35535341292564</v>
      </c>
      <c r="T67" s="789"/>
      <c r="U67" s="810"/>
      <c r="V67" s="811">
        <f>SUM(V65:V66)</f>
        <v>315525</v>
      </c>
      <c r="W67" s="811"/>
      <c r="X67" s="811"/>
      <c r="Y67" s="811"/>
      <c r="Z67" s="811"/>
      <c r="AA67" s="811"/>
      <c r="AB67" s="811"/>
      <c r="AC67" s="811">
        <f>-AC65</f>
        <v>1143.09375</v>
      </c>
      <c r="AD67" s="811">
        <f>AC67</f>
        <v>1143.09375</v>
      </c>
      <c r="AE67" s="811"/>
      <c r="AF67" s="811"/>
      <c r="AG67" s="811">
        <v>766</v>
      </c>
      <c r="AH67" s="811">
        <f>AD67-AG67</f>
        <v>377.09375</v>
      </c>
      <c r="AI67" s="811"/>
      <c r="AJ67" s="812"/>
      <c r="AK67" s="812"/>
    </row>
    <row r="68" spans="1:42" ht="9.75" customHeight="1">
      <c r="A68" s="804"/>
      <c r="B68" s="805"/>
      <c r="C68" s="806"/>
      <c r="D68" s="806"/>
      <c r="E68" s="806"/>
      <c r="F68" s="806"/>
      <c r="G68" s="806"/>
      <c r="H68" s="806"/>
      <c r="I68" s="806"/>
      <c r="J68" s="806"/>
      <c r="K68" s="806"/>
      <c r="L68" s="806"/>
      <c r="M68" s="806"/>
      <c r="N68" s="806"/>
      <c r="O68" s="806"/>
      <c r="P68" s="806"/>
      <c r="Q68" s="806"/>
      <c r="R68" s="806"/>
      <c r="S68" s="806"/>
      <c r="T68" s="806"/>
      <c r="U68" s="828"/>
      <c r="V68" s="828"/>
      <c r="W68" s="828"/>
      <c r="X68" s="828"/>
      <c r="Y68" s="828"/>
      <c r="Z68" s="828"/>
      <c r="AA68" s="828"/>
      <c r="AB68" s="828"/>
      <c r="AC68" s="829"/>
      <c r="AD68" s="829"/>
      <c r="AE68" s="829"/>
      <c r="AF68" s="828"/>
      <c r="AG68" s="828"/>
      <c r="AH68" s="828"/>
      <c r="AI68" s="828"/>
      <c r="AJ68" s="828"/>
      <c r="AK68" s="830"/>
    </row>
    <row r="69" spans="1:42" ht="36" customHeight="1">
      <c r="A69" s="826" t="s">
        <v>675</v>
      </c>
      <c r="B69" s="785">
        <f t="shared" ref="B69:G69" si="94">SUM(B65:B67)</f>
        <v>75</v>
      </c>
      <c r="C69" s="786">
        <f t="shared" si="94"/>
        <v>0</v>
      </c>
      <c r="D69" s="786">
        <f t="shared" si="94"/>
        <v>243902.03219787162</v>
      </c>
      <c r="E69" s="799"/>
      <c r="F69" s="799">
        <f t="shared" si="94"/>
        <v>55952.517123287675</v>
      </c>
      <c r="G69" s="799">
        <f t="shared" si="94"/>
        <v>299854.54932115931</v>
      </c>
      <c r="H69" s="799"/>
      <c r="I69" s="799"/>
      <c r="J69" s="799"/>
      <c r="K69" s="799"/>
      <c r="L69" s="799">
        <f>L67+L65</f>
        <v>0</v>
      </c>
      <c r="M69" s="800">
        <f>M67+M65</f>
        <v>409342.14136517025</v>
      </c>
      <c r="N69" s="800"/>
      <c r="O69" s="801"/>
      <c r="P69" s="799"/>
      <c r="Q69" s="801"/>
      <c r="R69" s="801"/>
      <c r="S69" s="801"/>
      <c r="T69" s="801"/>
      <c r="U69" s="810"/>
      <c r="V69" s="811">
        <f>SUM(V65:V66)</f>
        <v>315525</v>
      </c>
      <c r="W69" s="811"/>
      <c r="X69" s="811"/>
      <c r="Y69" s="811"/>
      <c r="Z69" s="811"/>
      <c r="AA69" s="811"/>
      <c r="AB69" s="811"/>
      <c r="AC69" s="811">
        <f>SUM(AC65:AC67)</f>
        <v>0</v>
      </c>
      <c r="AD69" s="811">
        <f>SUM(AD65:AD67)</f>
        <v>457237.5</v>
      </c>
      <c r="AE69" s="811">
        <f>SUM(AE65:AE66)</f>
        <v>0</v>
      </c>
      <c r="AF69" s="812"/>
      <c r="AG69" s="812"/>
      <c r="AH69" s="812"/>
      <c r="AI69" s="812"/>
      <c r="AJ69" s="812"/>
      <c r="AK69" s="812"/>
    </row>
    <row r="70" spans="1:42" ht="47.25" customHeight="1">
      <c r="B70" s="1751"/>
      <c r="C70" s="1751"/>
      <c r="D70" s="1751"/>
      <c r="E70" s="1751"/>
      <c r="F70" s="1751"/>
      <c r="G70" s="1751"/>
      <c r="H70" s="1751"/>
      <c r="I70" s="1751"/>
      <c r="J70" s="1751"/>
      <c r="K70" s="1751"/>
      <c r="L70" s="1751"/>
      <c r="M70" s="1751"/>
      <c r="N70" s="1751"/>
      <c r="O70" s="1751"/>
      <c r="P70" s="1751"/>
      <c r="Q70" s="1751"/>
      <c r="R70" s="1751"/>
      <c r="S70" s="1751"/>
      <c r="T70" s="1751"/>
      <c r="U70" s="1751"/>
    </row>
    <row r="71" spans="1:42" ht="22.5" customHeight="1">
      <c r="B71" s="818"/>
    </row>
    <row r="72" spans="1:42" ht="12.75"/>
    <row r="73" spans="1:42" ht="69" customHeight="1">
      <c r="A73" s="819" t="s">
        <v>676</v>
      </c>
      <c r="C73" s="819"/>
      <c r="D73" s="819"/>
      <c r="E73" s="819"/>
      <c r="F73" s="819"/>
      <c r="G73" s="819"/>
      <c r="H73" s="1724" t="s">
        <v>156</v>
      </c>
      <c r="I73" s="1725"/>
      <c r="J73" s="1726"/>
      <c r="K73" s="616"/>
      <c r="L73" s="819"/>
      <c r="M73" s="819"/>
      <c r="N73" s="819"/>
      <c r="Y73" s="1748" t="s">
        <v>544</v>
      </c>
      <c r="Z73" s="1749"/>
      <c r="AA73" s="1749"/>
      <c r="AB73" s="1749"/>
      <c r="AC73" s="1750"/>
      <c r="AD73" s="777"/>
    </row>
    <row r="74" spans="1:42" ht="83.25" customHeight="1">
      <c r="A74" s="1759" t="s">
        <v>677</v>
      </c>
      <c r="B74" s="1761" t="s">
        <v>672</v>
      </c>
      <c r="C74" s="1761" t="s">
        <v>619</v>
      </c>
      <c r="D74" s="1757" t="s">
        <v>620</v>
      </c>
      <c r="E74" s="1762" t="s">
        <v>621</v>
      </c>
      <c r="F74" s="1734" t="s">
        <v>622</v>
      </c>
      <c r="G74" s="1757" t="s">
        <v>623</v>
      </c>
      <c r="H74" s="1652" t="s">
        <v>552</v>
      </c>
      <c r="I74" s="1652" t="s">
        <v>553</v>
      </c>
      <c r="J74" s="1652" t="s">
        <v>554</v>
      </c>
      <c r="K74" s="1652" t="s">
        <v>555</v>
      </c>
      <c r="L74" s="1688" t="s">
        <v>649</v>
      </c>
      <c r="M74" s="1757" t="s">
        <v>625</v>
      </c>
      <c r="N74" s="1752" t="s">
        <v>650</v>
      </c>
      <c r="O74" s="1757" t="s">
        <v>627</v>
      </c>
      <c r="P74" s="1713" t="s">
        <v>442</v>
      </c>
      <c r="Q74" s="1757" t="s">
        <v>628</v>
      </c>
      <c r="R74" s="1661" t="s">
        <v>444</v>
      </c>
      <c r="S74" s="1661" t="s">
        <v>445</v>
      </c>
      <c r="T74" s="1661" t="s">
        <v>629</v>
      </c>
      <c r="U74" s="1763" t="s">
        <v>678</v>
      </c>
      <c r="V74" s="1661" t="s">
        <v>679</v>
      </c>
      <c r="W74" s="1711" t="s">
        <v>661</v>
      </c>
      <c r="X74" s="1711" t="s">
        <v>565</v>
      </c>
      <c r="Y74" s="1661" t="s">
        <v>566</v>
      </c>
      <c r="Z74" s="1661" t="s">
        <v>567</v>
      </c>
      <c r="AA74" s="1661" t="s">
        <v>568</v>
      </c>
      <c r="AB74" s="1661" t="s">
        <v>569</v>
      </c>
      <c r="AC74" s="1661" t="s">
        <v>570</v>
      </c>
      <c r="AD74" s="1733" t="s">
        <v>571</v>
      </c>
      <c r="AE74" s="1756" t="s">
        <v>631</v>
      </c>
      <c r="AF74" s="1754" t="s">
        <v>632</v>
      </c>
      <c r="AG74" s="1752" t="s">
        <v>633</v>
      </c>
      <c r="AH74" s="1754" t="s">
        <v>634</v>
      </c>
      <c r="AI74" s="1754" t="s">
        <v>574</v>
      </c>
      <c r="AJ74" s="1754" t="s">
        <v>445</v>
      </c>
      <c r="AK74" s="1754" t="s">
        <v>635</v>
      </c>
      <c r="AL74" s="1731" t="s">
        <v>576</v>
      </c>
      <c r="AM74" s="1731" t="s">
        <v>577</v>
      </c>
    </row>
    <row r="75" spans="1:42" ht="95.25" customHeight="1">
      <c r="A75" s="1760"/>
      <c r="B75" s="1761"/>
      <c r="C75" s="1761"/>
      <c r="D75" s="1757"/>
      <c r="E75" s="1762"/>
      <c r="F75" s="1735"/>
      <c r="G75" s="1757"/>
      <c r="H75" s="1663"/>
      <c r="I75" s="1663"/>
      <c r="J75" s="1663"/>
      <c r="K75" s="1663"/>
      <c r="L75" s="1657"/>
      <c r="M75" s="1757"/>
      <c r="N75" s="1753"/>
      <c r="O75" s="1757"/>
      <c r="P75" s="1758"/>
      <c r="Q75" s="1757"/>
      <c r="R75" s="1715"/>
      <c r="S75" s="1715"/>
      <c r="T75" s="1715"/>
      <c r="U75" s="1764"/>
      <c r="V75" s="1663"/>
      <c r="W75" s="1712"/>
      <c r="X75" s="1712"/>
      <c r="Y75" s="1663"/>
      <c r="Z75" s="1663"/>
      <c r="AA75" s="1663"/>
      <c r="AB75" s="1663"/>
      <c r="AC75" s="1663"/>
      <c r="AD75" s="1733"/>
      <c r="AE75" s="1712"/>
      <c r="AF75" s="1755"/>
      <c r="AG75" s="1753"/>
      <c r="AH75" s="1755"/>
      <c r="AI75" s="1755"/>
      <c r="AJ75" s="1755"/>
      <c r="AK75" s="1755"/>
      <c r="AL75" s="1732"/>
      <c r="AM75" s="1732"/>
      <c r="AN75" s="1520" t="s">
        <v>636</v>
      </c>
      <c r="AO75" s="1520" t="s">
        <v>637</v>
      </c>
      <c r="AP75" s="1513" t="s">
        <v>638</v>
      </c>
    </row>
    <row r="76" spans="1:42" ht="12.75">
      <c r="A76" s="779"/>
      <c r="B76" s="780">
        <v>1</v>
      </c>
      <c r="C76" s="781">
        <f>B76+1</f>
        <v>2</v>
      </c>
      <c r="D76" s="781">
        <f>C76+1</f>
        <v>3</v>
      </c>
      <c r="E76" s="781">
        <f>D76+1</f>
        <v>4</v>
      </c>
      <c r="F76" s="781">
        <f>E76+1</f>
        <v>5</v>
      </c>
      <c r="G76" s="781">
        <f t="shared" ref="G76:Y76" si="95">F76+1</f>
        <v>6</v>
      </c>
      <c r="H76" s="781">
        <f t="shared" si="95"/>
        <v>7</v>
      </c>
      <c r="I76" s="781">
        <f t="shared" si="95"/>
        <v>8</v>
      </c>
      <c r="J76" s="781">
        <f t="shared" si="95"/>
        <v>9</v>
      </c>
      <c r="K76" s="781">
        <f t="shared" si="95"/>
        <v>10</v>
      </c>
      <c r="L76" s="781">
        <f t="shared" si="95"/>
        <v>11</v>
      </c>
      <c r="M76" s="781">
        <f t="shared" si="95"/>
        <v>12</v>
      </c>
      <c r="N76" s="781">
        <f t="shared" si="95"/>
        <v>13</v>
      </c>
      <c r="O76" s="781">
        <f t="shared" si="95"/>
        <v>14</v>
      </c>
      <c r="P76" s="781">
        <f t="shared" si="95"/>
        <v>15</v>
      </c>
      <c r="Q76" s="781">
        <f t="shared" si="95"/>
        <v>16</v>
      </c>
      <c r="R76" s="781">
        <f t="shared" si="95"/>
        <v>17</v>
      </c>
      <c r="S76" s="781">
        <f t="shared" si="95"/>
        <v>18</v>
      </c>
      <c r="T76" s="781">
        <f t="shared" si="95"/>
        <v>19</v>
      </c>
      <c r="U76" s="781">
        <f t="shared" si="95"/>
        <v>20</v>
      </c>
      <c r="V76" s="781">
        <f t="shared" si="95"/>
        <v>21</v>
      </c>
      <c r="W76" s="781">
        <f t="shared" si="95"/>
        <v>22</v>
      </c>
      <c r="X76" s="781">
        <f t="shared" si="95"/>
        <v>23</v>
      </c>
      <c r="Y76" s="781">
        <f t="shared" si="95"/>
        <v>24</v>
      </c>
      <c r="Z76" s="781">
        <f>Y76+1</f>
        <v>25</v>
      </c>
      <c r="AA76" s="781">
        <f t="shared" ref="AA76:AM76" si="96">Z76+1</f>
        <v>26</v>
      </c>
      <c r="AB76" s="781">
        <f t="shared" si="96"/>
        <v>27</v>
      </c>
      <c r="AC76" s="781">
        <f t="shared" si="96"/>
        <v>28</v>
      </c>
      <c r="AD76" s="781">
        <f t="shared" si="96"/>
        <v>29</v>
      </c>
      <c r="AE76" s="781">
        <f t="shared" si="96"/>
        <v>30</v>
      </c>
      <c r="AF76" s="781">
        <f t="shared" si="96"/>
        <v>31</v>
      </c>
      <c r="AG76" s="781">
        <f t="shared" si="96"/>
        <v>32</v>
      </c>
      <c r="AH76" s="781">
        <f t="shared" si="96"/>
        <v>33</v>
      </c>
      <c r="AI76" s="781">
        <f t="shared" si="96"/>
        <v>34</v>
      </c>
      <c r="AJ76" s="781">
        <f t="shared" si="96"/>
        <v>35</v>
      </c>
      <c r="AK76" s="781">
        <f t="shared" si="96"/>
        <v>36</v>
      </c>
      <c r="AL76" s="781">
        <f t="shared" si="96"/>
        <v>37</v>
      </c>
      <c r="AM76" s="781">
        <f t="shared" si="96"/>
        <v>38</v>
      </c>
      <c r="AN76" s="1519"/>
      <c r="AO76" s="1519"/>
      <c r="AP76" s="1519"/>
    </row>
    <row r="77" spans="1:42" ht="28.5" customHeight="1">
      <c r="A77" s="784" t="s">
        <v>662</v>
      </c>
      <c r="B77" s="785">
        <v>50</v>
      </c>
      <c r="C77" s="786">
        <f>'Table 3 Levels 1&amp;2'!AL43</f>
        <v>3252.0270959716217</v>
      </c>
      <c r="D77" s="786">
        <f>B77*C77</f>
        <v>162601.3547985811</v>
      </c>
      <c r="E77" s="787">
        <f>'Table 5B1_RSD_Orleans'!F70</f>
        <v>746.0335616438357</v>
      </c>
      <c r="F77" s="787">
        <f>E77*B77</f>
        <v>37301.678082191786</v>
      </c>
      <c r="G77" s="787">
        <f>D77+F77</f>
        <v>199903.03288077289</v>
      </c>
      <c r="H77" s="787">
        <f>'October midyear adj'!K125</f>
        <v>-27986.424603308202</v>
      </c>
      <c r="I77" s="787">
        <f>'February midyear adj '!K129</f>
        <v>3998.0606576154573</v>
      </c>
      <c r="J77" s="787">
        <f>H77+I77</f>
        <v>-23988.363945692745</v>
      </c>
      <c r="K77" s="787">
        <f t="shared" ref="K77:K78" si="97">SUM(G77:I77)</f>
        <v>175914.66893508015</v>
      </c>
      <c r="L77" s="787">
        <f>-(0.25%*K77)</f>
        <v>-439.7866723377004</v>
      </c>
      <c r="M77" s="788">
        <f>K77+L77</f>
        <v>175474.88226274244</v>
      </c>
      <c r="N77" s="788">
        <v>0</v>
      </c>
      <c r="O77" s="789">
        <f>SUM(M77:N77)</f>
        <v>175474.88226274244</v>
      </c>
      <c r="P77" s="787">
        <v>0</v>
      </c>
      <c r="Q77" s="789">
        <f>O77+P77</f>
        <v>175474.88226274244</v>
      </c>
      <c r="R77" s="789">
        <f>[8]MFP!$EC$88+[8]MFP!$CT$88+16617</f>
        <v>132936</v>
      </c>
      <c r="S77" s="789">
        <f>Q77-R77</f>
        <v>42538.882262742438</v>
      </c>
      <c r="T77" s="789">
        <f>S77/4</f>
        <v>10634.720565685609</v>
      </c>
      <c r="U77" s="789">
        <f>'Table 4A Stipends'!G75</f>
        <v>30000</v>
      </c>
      <c r="V77" s="789">
        <f>Q77+U77</f>
        <v>205474.88226274244</v>
      </c>
      <c r="W77" s="790">
        <f>'[11]FY2011-12_Final'!$K$43</f>
        <v>4851</v>
      </c>
      <c r="X77" s="791">
        <f>W77*B77</f>
        <v>242550</v>
      </c>
      <c r="Y77" s="792">
        <f>'October midyear adj'!E125</f>
        <v>-7</v>
      </c>
      <c r="Z77" s="791">
        <f>Y77*W77</f>
        <v>-33957</v>
      </c>
      <c r="AA77" s="792">
        <f>'February midyear adj '!E129</f>
        <v>2</v>
      </c>
      <c r="AB77" s="791">
        <f>(W77*0.5)*AA77</f>
        <v>4851</v>
      </c>
      <c r="AC77" s="791">
        <f>Z77+AB77</f>
        <v>-29106</v>
      </c>
      <c r="AD77" s="791">
        <f>X77+Z77+AB77</f>
        <v>213444</v>
      </c>
      <c r="AE77" s="791">
        <f>AD77*-0.25%</f>
        <v>-533.61</v>
      </c>
      <c r="AF77" s="791">
        <f>SUM(AD77:AE77)</f>
        <v>212910.39</v>
      </c>
      <c r="AG77" s="790">
        <v>0</v>
      </c>
      <c r="AH77" s="791">
        <f>SUM(AF77:AG77)</f>
        <v>212910.39</v>
      </c>
      <c r="AI77" s="791">
        <f>[8]MFP!$EE$88+20196</f>
        <v>161561</v>
      </c>
      <c r="AJ77" s="791">
        <f>AH77-AI77</f>
        <v>51349.390000000014</v>
      </c>
      <c r="AK77" s="791">
        <f>AJ77/4</f>
        <v>12837.347500000003</v>
      </c>
      <c r="AL77" s="793">
        <f>Q77+AH77</f>
        <v>388385.27226274245</v>
      </c>
      <c r="AM77" s="793">
        <f>T77+AK77</f>
        <v>23472.068065685613</v>
      </c>
      <c r="AN77" s="1519">
        <f>AE77</f>
        <v>-533.61</v>
      </c>
      <c r="AO77" s="1519">
        <v>607</v>
      </c>
      <c r="AP77" s="1519">
        <f>SUM(AN77:AO77)</f>
        <v>73.389999999999986</v>
      </c>
    </row>
    <row r="78" spans="1:42" ht="28.5" customHeight="1">
      <c r="A78" s="784" t="s">
        <v>663</v>
      </c>
      <c r="B78" s="785">
        <v>0</v>
      </c>
      <c r="C78" s="786">
        <f>'Table 3 Levels 1&amp;2'!AL33</f>
        <v>3150.3479009796833</v>
      </c>
      <c r="D78" s="786">
        <f>B78*C78</f>
        <v>0</v>
      </c>
      <c r="E78" s="787">
        <f>'Table 4 Level 3'!P31</f>
        <v>836.83</v>
      </c>
      <c r="F78" s="787">
        <f>E78*B78</f>
        <v>0</v>
      </c>
      <c r="G78" s="787">
        <f>D78+F78</f>
        <v>0</v>
      </c>
      <c r="H78" s="787">
        <f>'October midyear adj'!K126</f>
        <v>39871.779009796832</v>
      </c>
      <c r="I78" s="787">
        <f>'February midyear adj '!K130</f>
        <v>0</v>
      </c>
      <c r="J78" s="787">
        <f>H78+I78</f>
        <v>39871.779009796832</v>
      </c>
      <c r="K78" s="787">
        <f t="shared" si="97"/>
        <v>39871.779009796832</v>
      </c>
      <c r="L78" s="787">
        <f>-(0.25%*K78)</f>
        <v>-99.679447524492076</v>
      </c>
      <c r="M78" s="788">
        <f>K78+L78</f>
        <v>39772.099562272342</v>
      </c>
      <c r="N78" s="788">
        <v>0</v>
      </c>
      <c r="O78" s="789">
        <f>SUM(M78:N78)</f>
        <v>39772.099562272342</v>
      </c>
      <c r="P78" s="787">
        <v>0</v>
      </c>
      <c r="Q78" s="789">
        <f>O78+P78</f>
        <v>39772.099562272342</v>
      </c>
      <c r="R78" s="789">
        <v>0</v>
      </c>
      <c r="S78" s="789">
        <f>Q78-R78</f>
        <v>39772.099562272342</v>
      </c>
      <c r="T78" s="789">
        <f>S78/4</f>
        <v>9943.0248905680855</v>
      </c>
      <c r="U78" s="789">
        <v>0</v>
      </c>
      <c r="V78" s="789">
        <f>Q78+U78</f>
        <v>39772.099562272342</v>
      </c>
      <c r="W78" s="790">
        <f>'[11]FY2011-12_Final'!$K$33</f>
        <v>5258</v>
      </c>
      <c r="X78" s="791">
        <f>W78*B78</f>
        <v>0</v>
      </c>
      <c r="Y78" s="792">
        <f>'October midyear adj'!E126</f>
        <v>10</v>
      </c>
      <c r="Z78" s="791">
        <f>Y78*W78</f>
        <v>52580</v>
      </c>
      <c r="AA78" s="792">
        <f>'February midyear adj '!E130</f>
        <v>0</v>
      </c>
      <c r="AB78" s="791">
        <f>(W78*0.5)*AA78</f>
        <v>0</v>
      </c>
      <c r="AC78" s="791">
        <f>Z78+AB78</f>
        <v>52580</v>
      </c>
      <c r="AD78" s="791">
        <f>X78+Z78+AB78</f>
        <v>52580</v>
      </c>
      <c r="AE78" s="791">
        <f>AD78*-0.25%</f>
        <v>-131.44999999999999</v>
      </c>
      <c r="AF78" s="791">
        <f>SUM(AD78:AE78)</f>
        <v>52448.55</v>
      </c>
      <c r="AG78" s="790">
        <v>0</v>
      </c>
      <c r="AH78" s="791">
        <f>SUM(AF78:AG78)</f>
        <v>52448.55</v>
      </c>
      <c r="AI78" s="791">
        <v>0</v>
      </c>
      <c r="AJ78" s="791">
        <f>AH78-AI78</f>
        <v>52448.55</v>
      </c>
      <c r="AK78" s="791">
        <f>AJ78/4</f>
        <v>13112.137500000001</v>
      </c>
      <c r="AL78" s="793">
        <f>Q78+AH78</f>
        <v>92220.649562272345</v>
      </c>
      <c r="AM78" s="793">
        <f>T78+AK78</f>
        <v>23055.162390568086</v>
      </c>
      <c r="AN78" s="1519">
        <f>AE78</f>
        <v>-131.44999999999999</v>
      </c>
      <c r="AO78" s="1519">
        <v>0</v>
      </c>
      <c r="AP78" s="1519">
        <f>SUM(AN78:AO78)</f>
        <v>-131.44999999999999</v>
      </c>
    </row>
    <row r="79" spans="1:42" ht="28.5" customHeight="1">
      <c r="A79" s="796" t="s">
        <v>680</v>
      </c>
      <c r="B79" s="797">
        <f>SUM(B77:B77)</f>
        <v>50</v>
      </c>
      <c r="C79" s="798"/>
      <c r="D79" s="798">
        <f>SUM(D77:D77)</f>
        <v>162601.3547985811</v>
      </c>
      <c r="E79" s="798"/>
      <c r="F79" s="798">
        <f t="shared" ref="F79:G79" si="98">SUM(F77:F77)</f>
        <v>37301.678082191786</v>
      </c>
      <c r="G79" s="799">
        <f t="shared" si="98"/>
        <v>199903.03288077289</v>
      </c>
      <c r="H79" s="799">
        <f t="shared" ref="H79:T79" si="99">SUM(H77:H78)</f>
        <v>11885.35440648863</v>
      </c>
      <c r="I79" s="799">
        <f t="shared" si="99"/>
        <v>3998.0606576154573</v>
      </c>
      <c r="J79" s="799">
        <f t="shared" si="99"/>
        <v>15883.415064104087</v>
      </c>
      <c r="K79" s="799">
        <f t="shared" si="99"/>
        <v>215786.44794487697</v>
      </c>
      <c r="L79" s="798">
        <f t="shared" si="99"/>
        <v>-539.4661198621925</v>
      </c>
      <c r="M79" s="800">
        <f t="shared" si="99"/>
        <v>215246.98182501478</v>
      </c>
      <c r="N79" s="800">
        <f t="shared" si="99"/>
        <v>0</v>
      </c>
      <c r="O79" s="801">
        <f t="shared" si="99"/>
        <v>215246.98182501478</v>
      </c>
      <c r="P79" s="800">
        <f t="shared" si="99"/>
        <v>0</v>
      </c>
      <c r="Q79" s="801">
        <f t="shared" si="99"/>
        <v>215246.98182501478</v>
      </c>
      <c r="R79" s="801">
        <f t="shared" si="99"/>
        <v>132936</v>
      </c>
      <c r="S79" s="801">
        <f t="shared" si="99"/>
        <v>82310.98182501478</v>
      </c>
      <c r="T79" s="801">
        <f t="shared" si="99"/>
        <v>20577.745456253695</v>
      </c>
      <c r="U79" s="801">
        <f>SUM(U77:U78)</f>
        <v>30000</v>
      </c>
      <c r="V79" s="801">
        <f>SUM(V77:V78)</f>
        <v>245246.98182501478</v>
      </c>
      <c r="W79" s="800"/>
      <c r="X79" s="799">
        <f>SUM(X77:X78)</f>
        <v>242550</v>
      </c>
      <c r="Y79" s="802">
        <f t="shared" ref="Y79:AM79" si="100">SUM(Y77:Y78)</f>
        <v>3</v>
      </c>
      <c r="Z79" s="799">
        <f t="shared" si="100"/>
        <v>18623</v>
      </c>
      <c r="AA79" s="802">
        <f t="shared" si="100"/>
        <v>2</v>
      </c>
      <c r="AB79" s="799">
        <f t="shared" si="100"/>
        <v>4851</v>
      </c>
      <c r="AC79" s="799">
        <f t="shared" si="100"/>
        <v>23474</v>
      </c>
      <c r="AD79" s="799">
        <f t="shared" si="100"/>
        <v>266024</v>
      </c>
      <c r="AE79" s="799">
        <f t="shared" si="100"/>
        <v>-665.06</v>
      </c>
      <c r="AF79" s="799">
        <f t="shared" si="100"/>
        <v>265358.94</v>
      </c>
      <c r="AG79" s="799">
        <f t="shared" si="100"/>
        <v>0</v>
      </c>
      <c r="AH79" s="799">
        <f t="shared" si="100"/>
        <v>265358.94</v>
      </c>
      <c r="AI79" s="799">
        <f t="shared" si="100"/>
        <v>161561</v>
      </c>
      <c r="AJ79" s="799">
        <f t="shared" si="100"/>
        <v>103797.94000000002</v>
      </c>
      <c r="AK79" s="799">
        <f t="shared" si="100"/>
        <v>25949.485000000004</v>
      </c>
      <c r="AL79" s="799">
        <f t="shared" si="100"/>
        <v>480605.92182501481</v>
      </c>
      <c r="AM79" s="799">
        <f t="shared" si="100"/>
        <v>46527.230456253703</v>
      </c>
      <c r="AN79" s="1519">
        <f>SUM(AN77:AN78)</f>
        <v>-665.06</v>
      </c>
      <c r="AO79" s="1519">
        <f t="shared" ref="AO79:AP79" si="101">SUM(AO77:AO78)</f>
        <v>607</v>
      </c>
      <c r="AP79" s="1519">
        <f t="shared" si="101"/>
        <v>-58.06</v>
      </c>
    </row>
    <row r="80" spans="1:42" ht="9.75" customHeight="1">
      <c r="A80" s="804"/>
      <c r="B80" s="805"/>
      <c r="C80" s="806"/>
      <c r="D80" s="806"/>
      <c r="E80" s="806"/>
      <c r="F80" s="806"/>
      <c r="G80" s="806"/>
      <c r="H80" s="806"/>
      <c r="I80" s="806"/>
      <c r="J80" s="806"/>
      <c r="K80" s="806"/>
      <c r="L80" s="806"/>
      <c r="M80" s="806"/>
      <c r="N80" s="806"/>
      <c r="O80" s="806"/>
      <c r="P80" s="806"/>
      <c r="Q80" s="806"/>
      <c r="R80" s="806"/>
      <c r="S80" s="806"/>
      <c r="T80" s="806"/>
      <c r="U80" s="806"/>
      <c r="V80" s="806"/>
      <c r="W80" s="806"/>
      <c r="X80" s="806"/>
      <c r="Y80" s="806"/>
      <c r="Z80" s="806"/>
      <c r="AA80" s="806"/>
      <c r="AB80" s="806"/>
      <c r="AC80" s="806"/>
      <c r="AD80" s="806"/>
      <c r="AE80" s="806"/>
      <c r="AF80" s="806"/>
      <c r="AG80" s="806"/>
      <c r="AH80" s="806"/>
      <c r="AI80" s="806"/>
      <c r="AJ80" s="806"/>
      <c r="AK80" s="806"/>
      <c r="AL80" s="806"/>
      <c r="AM80" s="807"/>
    </row>
    <row r="81" spans="1:40" ht="34.5" customHeight="1">
      <c r="A81" s="784" t="s">
        <v>657</v>
      </c>
      <c r="B81" s="785"/>
      <c r="C81" s="786"/>
      <c r="D81" s="786"/>
      <c r="E81" s="787"/>
      <c r="F81" s="787"/>
      <c r="G81" s="787"/>
      <c r="H81" s="787"/>
      <c r="I81" s="787"/>
      <c r="J81" s="787"/>
      <c r="K81" s="787"/>
      <c r="L81" s="787">
        <f>-L79</f>
        <v>539.4661198621925</v>
      </c>
      <c r="M81" s="788">
        <f>L81</f>
        <v>539.4661198621925</v>
      </c>
      <c r="N81" s="788"/>
      <c r="O81" s="789"/>
      <c r="P81" s="787"/>
      <c r="Q81" s="789"/>
      <c r="R81" s="789">
        <v>500</v>
      </c>
      <c r="S81" s="789">
        <f>M81-R81</f>
        <v>39.4661198621925</v>
      </c>
      <c r="T81" s="789"/>
      <c r="U81" s="789"/>
      <c r="V81" s="789"/>
      <c r="W81" s="810"/>
      <c r="X81" s="811">
        <f>SUM(X79:X80)</f>
        <v>242550</v>
      </c>
      <c r="Y81" s="811"/>
      <c r="Z81" s="811"/>
      <c r="AA81" s="811"/>
      <c r="AB81" s="811"/>
      <c r="AC81" s="811"/>
      <c r="AD81" s="811"/>
      <c r="AE81" s="811">
        <f>-AE79</f>
        <v>665.06</v>
      </c>
      <c r="AF81" s="811">
        <f>AE81</f>
        <v>665.06</v>
      </c>
      <c r="AG81" s="811"/>
      <c r="AH81" s="811"/>
      <c r="AI81" s="811">
        <v>607</v>
      </c>
      <c r="AJ81" s="811">
        <f>AF81-AI81</f>
        <v>58.059999999999945</v>
      </c>
      <c r="AK81" s="811"/>
      <c r="AL81" s="812"/>
      <c r="AM81" s="812"/>
    </row>
    <row r="82" spans="1:40" ht="9.75" customHeight="1">
      <c r="A82" s="804"/>
      <c r="B82" s="805"/>
      <c r="C82" s="806"/>
      <c r="D82" s="806"/>
      <c r="E82" s="806"/>
      <c r="F82" s="806"/>
      <c r="G82" s="806"/>
      <c r="H82" s="806"/>
      <c r="I82" s="806"/>
      <c r="J82" s="806"/>
      <c r="K82" s="806"/>
      <c r="L82" s="806"/>
      <c r="M82" s="806"/>
      <c r="N82" s="806"/>
      <c r="O82" s="806"/>
      <c r="P82" s="806"/>
      <c r="Q82" s="806"/>
      <c r="R82" s="806"/>
      <c r="S82" s="806"/>
      <c r="T82" s="806"/>
      <c r="U82" s="806"/>
      <c r="V82" s="806"/>
      <c r="W82" s="828"/>
      <c r="X82" s="828"/>
      <c r="Y82" s="828"/>
      <c r="Z82" s="828"/>
      <c r="AA82" s="828"/>
      <c r="AB82" s="828"/>
      <c r="AC82" s="828"/>
      <c r="AD82" s="828"/>
      <c r="AE82" s="829"/>
      <c r="AF82" s="829"/>
      <c r="AG82" s="829"/>
      <c r="AH82" s="828"/>
      <c r="AI82" s="828"/>
      <c r="AJ82" s="828"/>
      <c r="AK82" s="828"/>
      <c r="AL82" s="828"/>
      <c r="AM82" s="830"/>
    </row>
    <row r="83" spans="1:40" ht="37.5" customHeight="1">
      <c r="A83" s="784" t="s">
        <v>681</v>
      </c>
      <c r="B83" s="785">
        <f t="shared" ref="B83:G83" si="102">SUM(B79:B81)</f>
        <v>50</v>
      </c>
      <c r="C83" s="786">
        <f t="shared" si="102"/>
        <v>0</v>
      </c>
      <c r="D83" s="786">
        <f t="shared" si="102"/>
        <v>162601.3547985811</v>
      </c>
      <c r="E83" s="799"/>
      <c r="F83" s="799">
        <f t="shared" si="102"/>
        <v>37301.678082191786</v>
      </c>
      <c r="G83" s="799">
        <f t="shared" si="102"/>
        <v>199903.03288077289</v>
      </c>
      <c r="H83" s="799"/>
      <c r="I83" s="799"/>
      <c r="J83" s="799"/>
      <c r="K83" s="799"/>
      <c r="L83" s="799">
        <f>L81+L79</f>
        <v>0</v>
      </c>
      <c r="M83" s="800">
        <f>M81+M79</f>
        <v>215786.44794487697</v>
      </c>
      <c r="N83" s="800"/>
      <c r="O83" s="801"/>
      <c r="P83" s="799"/>
      <c r="Q83" s="801"/>
      <c r="R83" s="801"/>
      <c r="S83" s="801"/>
      <c r="T83" s="801"/>
      <c r="U83" s="801"/>
      <c r="V83" s="801"/>
      <c r="W83" s="810"/>
      <c r="X83" s="811">
        <f>SUM(X79:X80)</f>
        <v>242550</v>
      </c>
      <c r="Y83" s="811"/>
      <c r="Z83" s="811"/>
      <c r="AA83" s="811"/>
      <c r="AB83" s="811"/>
      <c r="AC83" s="811"/>
      <c r="AD83" s="811"/>
      <c r="AE83" s="811">
        <f>SUM(AE79:AE81)</f>
        <v>0</v>
      </c>
      <c r="AF83" s="811">
        <f>SUM(AF79:AF81)</f>
        <v>266024</v>
      </c>
      <c r="AG83" s="811">
        <f>SUM(AG79:AG80)</f>
        <v>0</v>
      </c>
      <c r="AH83" s="812"/>
      <c r="AI83" s="812"/>
      <c r="AJ83" s="812"/>
      <c r="AK83" s="812"/>
      <c r="AL83" s="812"/>
      <c r="AM83" s="812"/>
    </row>
    <row r="84" spans="1:40" ht="39.75" customHeight="1">
      <c r="B84" s="1751"/>
      <c r="C84" s="1751"/>
      <c r="D84" s="1751"/>
      <c r="E84" s="1751"/>
      <c r="F84" s="1751"/>
      <c r="G84" s="1751"/>
      <c r="H84" s="1751"/>
      <c r="I84" s="1751"/>
      <c r="J84" s="1751"/>
      <c r="K84" s="1751"/>
      <c r="L84" s="1751"/>
      <c r="M84" s="1751"/>
      <c r="N84" s="1751"/>
      <c r="O84" s="1751"/>
      <c r="P84" s="1751"/>
      <c r="Q84" s="1751"/>
      <c r="R84" s="1751"/>
      <c r="S84" s="1751"/>
      <c r="T84" s="1751"/>
      <c r="U84" s="1751"/>
    </row>
    <row r="85" spans="1:40" ht="28.5" customHeight="1">
      <c r="B85" s="818"/>
    </row>
    <row r="86" spans="1:40" ht="12.75"/>
    <row r="87" spans="1:40" ht="69" customHeight="1">
      <c r="A87" s="819" t="s">
        <v>682</v>
      </c>
      <c r="C87" s="819"/>
      <c r="D87" s="819"/>
      <c r="E87" s="819"/>
      <c r="F87" s="819"/>
      <c r="G87" s="819"/>
      <c r="H87" s="1724" t="s">
        <v>156</v>
      </c>
      <c r="I87" s="1725"/>
      <c r="J87" s="1726"/>
      <c r="K87" s="616"/>
      <c r="L87" s="819"/>
      <c r="M87" s="819"/>
      <c r="N87" s="819"/>
      <c r="W87" s="1748" t="s">
        <v>544</v>
      </c>
      <c r="X87" s="1749"/>
      <c r="Y87" s="1749"/>
      <c r="Z87" s="1749"/>
      <c r="AA87" s="1750"/>
      <c r="AB87" s="777"/>
    </row>
    <row r="88" spans="1:40" ht="104.25" customHeight="1">
      <c r="A88" s="1759" t="s">
        <v>683</v>
      </c>
      <c r="B88" s="1761" t="s">
        <v>672</v>
      </c>
      <c r="C88" s="1761" t="s">
        <v>619</v>
      </c>
      <c r="D88" s="1757" t="s">
        <v>620</v>
      </c>
      <c r="E88" s="1762" t="s">
        <v>621</v>
      </c>
      <c r="F88" s="1734" t="s">
        <v>622</v>
      </c>
      <c r="G88" s="1757" t="s">
        <v>623</v>
      </c>
      <c r="H88" s="1652" t="s">
        <v>552</v>
      </c>
      <c r="I88" s="1652" t="s">
        <v>553</v>
      </c>
      <c r="J88" s="1652" t="s">
        <v>554</v>
      </c>
      <c r="K88" s="1652" t="s">
        <v>555</v>
      </c>
      <c r="L88" s="1688" t="s">
        <v>649</v>
      </c>
      <c r="M88" s="1757" t="s">
        <v>625</v>
      </c>
      <c r="N88" s="1752" t="s">
        <v>650</v>
      </c>
      <c r="O88" s="1757" t="s">
        <v>627</v>
      </c>
      <c r="P88" s="1713" t="s">
        <v>442</v>
      </c>
      <c r="Q88" s="1757" t="s">
        <v>628</v>
      </c>
      <c r="R88" s="1661" t="s">
        <v>444</v>
      </c>
      <c r="S88" s="1661" t="s">
        <v>445</v>
      </c>
      <c r="T88" s="1661" t="s">
        <v>629</v>
      </c>
      <c r="U88" s="1711" t="s">
        <v>661</v>
      </c>
      <c r="V88" s="1711" t="s">
        <v>565</v>
      </c>
      <c r="W88" s="1661" t="s">
        <v>566</v>
      </c>
      <c r="X88" s="1661" t="s">
        <v>567</v>
      </c>
      <c r="Y88" s="1661" t="s">
        <v>568</v>
      </c>
      <c r="Z88" s="1661" t="s">
        <v>569</v>
      </c>
      <c r="AA88" s="1661" t="s">
        <v>570</v>
      </c>
      <c r="AB88" s="1733" t="s">
        <v>571</v>
      </c>
      <c r="AC88" s="1756" t="s">
        <v>631</v>
      </c>
      <c r="AD88" s="1754" t="s">
        <v>632</v>
      </c>
      <c r="AE88" s="1752" t="s">
        <v>633</v>
      </c>
      <c r="AF88" s="1754" t="s">
        <v>634</v>
      </c>
      <c r="AG88" s="1754" t="s">
        <v>684</v>
      </c>
      <c r="AH88" s="1754" t="s">
        <v>685</v>
      </c>
      <c r="AI88" s="1754" t="s">
        <v>635</v>
      </c>
      <c r="AJ88" s="1731" t="s">
        <v>576</v>
      </c>
      <c r="AK88" s="1731" t="s">
        <v>577</v>
      </c>
    </row>
    <row r="89" spans="1:40" ht="66.75" customHeight="1">
      <c r="A89" s="1760"/>
      <c r="B89" s="1761"/>
      <c r="C89" s="1761"/>
      <c r="D89" s="1757"/>
      <c r="E89" s="1762"/>
      <c r="F89" s="1735"/>
      <c r="G89" s="1757"/>
      <c r="H89" s="1663"/>
      <c r="I89" s="1663"/>
      <c r="J89" s="1663"/>
      <c r="K89" s="1663"/>
      <c r="L89" s="1657"/>
      <c r="M89" s="1757"/>
      <c r="N89" s="1753"/>
      <c r="O89" s="1757"/>
      <c r="P89" s="1758"/>
      <c r="Q89" s="1757"/>
      <c r="R89" s="1715"/>
      <c r="S89" s="1715"/>
      <c r="T89" s="1715"/>
      <c r="U89" s="1712"/>
      <c r="V89" s="1712"/>
      <c r="W89" s="1663"/>
      <c r="X89" s="1663"/>
      <c r="Y89" s="1663"/>
      <c r="Z89" s="1663"/>
      <c r="AA89" s="1663"/>
      <c r="AB89" s="1733"/>
      <c r="AC89" s="1712"/>
      <c r="AD89" s="1755"/>
      <c r="AE89" s="1753"/>
      <c r="AF89" s="1755"/>
      <c r="AG89" s="1755"/>
      <c r="AH89" s="1755"/>
      <c r="AI89" s="1755"/>
      <c r="AJ89" s="1732"/>
      <c r="AK89" s="1732"/>
      <c r="AL89" s="778" t="s">
        <v>636</v>
      </c>
      <c r="AM89" s="778" t="s">
        <v>637</v>
      </c>
      <c r="AN89" s="1513" t="s">
        <v>638</v>
      </c>
    </row>
    <row r="90" spans="1:40" ht="12.75">
      <c r="A90" s="779"/>
      <c r="B90" s="780">
        <v>1</v>
      </c>
      <c r="C90" s="781">
        <f>B90+1</f>
        <v>2</v>
      </c>
      <c r="D90" s="781">
        <f>C90+1</f>
        <v>3</v>
      </c>
      <c r="E90" s="781">
        <f>D90+1</f>
        <v>4</v>
      </c>
      <c r="F90" s="781">
        <f>E90+1</f>
        <v>5</v>
      </c>
      <c r="G90" s="781">
        <f t="shared" ref="G90:Y90" si="103">F90+1</f>
        <v>6</v>
      </c>
      <c r="H90" s="781">
        <f t="shared" si="103"/>
        <v>7</v>
      </c>
      <c r="I90" s="781">
        <f t="shared" si="103"/>
        <v>8</v>
      </c>
      <c r="J90" s="781">
        <f t="shared" si="103"/>
        <v>9</v>
      </c>
      <c r="K90" s="781">
        <f t="shared" si="103"/>
        <v>10</v>
      </c>
      <c r="L90" s="781">
        <f t="shared" si="103"/>
        <v>11</v>
      </c>
      <c r="M90" s="781">
        <f t="shared" si="103"/>
        <v>12</v>
      </c>
      <c r="N90" s="781">
        <f t="shared" si="103"/>
        <v>13</v>
      </c>
      <c r="O90" s="781">
        <f t="shared" si="103"/>
        <v>14</v>
      </c>
      <c r="P90" s="781">
        <f t="shared" si="103"/>
        <v>15</v>
      </c>
      <c r="Q90" s="781">
        <f t="shared" si="103"/>
        <v>16</v>
      </c>
      <c r="R90" s="781">
        <f t="shared" si="103"/>
        <v>17</v>
      </c>
      <c r="S90" s="781">
        <f t="shared" si="103"/>
        <v>18</v>
      </c>
      <c r="T90" s="781">
        <f t="shared" si="103"/>
        <v>19</v>
      </c>
      <c r="U90" s="781">
        <f t="shared" si="103"/>
        <v>20</v>
      </c>
      <c r="V90" s="781">
        <f t="shared" si="103"/>
        <v>21</v>
      </c>
      <c r="W90" s="781">
        <f t="shared" si="103"/>
        <v>22</v>
      </c>
      <c r="X90" s="781">
        <f t="shared" si="103"/>
        <v>23</v>
      </c>
      <c r="Y90" s="781">
        <f t="shared" si="103"/>
        <v>24</v>
      </c>
      <c r="Z90" s="781">
        <f>Y90+1</f>
        <v>25</v>
      </c>
      <c r="AA90" s="781">
        <f t="shared" ref="AA90:AK90" si="104">Z90+1</f>
        <v>26</v>
      </c>
      <c r="AB90" s="781">
        <f t="shared" si="104"/>
        <v>27</v>
      </c>
      <c r="AC90" s="781">
        <f t="shared" si="104"/>
        <v>28</v>
      </c>
      <c r="AD90" s="781">
        <f t="shared" si="104"/>
        <v>29</v>
      </c>
      <c r="AE90" s="781">
        <f t="shared" si="104"/>
        <v>30</v>
      </c>
      <c r="AF90" s="781">
        <f t="shared" si="104"/>
        <v>31</v>
      </c>
      <c r="AG90" s="781">
        <f t="shared" si="104"/>
        <v>32</v>
      </c>
      <c r="AH90" s="781">
        <f t="shared" si="104"/>
        <v>33</v>
      </c>
      <c r="AI90" s="781">
        <f t="shared" si="104"/>
        <v>34</v>
      </c>
      <c r="AJ90" s="781">
        <f t="shared" si="104"/>
        <v>35</v>
      </c>
      <c r="AK90" s="781">
        <f t="shared" si="104"/>
        <v>36</v>
      </c>
      <c r="AL90" s="820"/>
      <c r="AM90" s="820"/>
      <c r="AN90" s="1519"/>
    </row>
    <row r="91" spans="1:40" ht="28.5" customHeight="1">
      <c r="A91" s="784" t="s">
        <v>686</v>
      </c>
      <c r="B91" s="785">
        <v>637</v>
      </c>
      <c r="C91" s="786">
        <f>'Table 3 Levels 1&amp;2'!AL17</f>
        <v>4312.1443052791201</v>
      </c>
      <c r="D91" s="786">
        <f>B91*C91</f>
        <v>2746835.9224627996</v>
      </c>
      <c r="E91" s="787">
        <f>'Table 4 Level 3'!P15</f>
        <v>608.04000000000008</v>
      </c>
      <c r="F91" s="787">
        <f>E91*B91</f>
        <v>387321.48000000004</v>
      </c>
      <c r="G91" s="787">
        <f>D91+F91</f>
        <v>3134157.4024627996</v>
      </c>
      <c r="H91" s="787">
        <f>'October midyear adj'!K129</f>
        <v>-59042.211663349444</v>
      </c>
      <c r="I91" s="787">
        <f>'February midyear adj '!K133</f>
        <v>36901.382289593399</v>
      </c>
      <c r="J91" s="787">
        <f>H91+I91</f>
        <v>-22140.829373756045</v>
      </c>
      <c r="K91" s="787">
        <f>SUM(G91:I91)</f>
        <v>3112016.5730890436</v>
      </c>
      <c r="L91" s="787">
        <f>-(0.25%*K91)</f>
        <v>-7780.041432722609</v>
      </c>
      <c r="M91" s="788">
        <f>K91+L91</f>
        <v>3104236.5316563211</v>
      </c>
      <c r="N91" s="788">
        <v>0</v>
      </c>
      <c r="O91" s="789">
        <f>SUM(M91:N91)</f>
        <v>3104236.5316563211</v>
      </c>
      <c r="P91" s="787">
        <v>0</v>
      </c>
      <c r="Q91" s="789">
        <f>O91+P91</f>
        <v>3104236.5316563211</v>
      </c>
      <c r="R91" s="789">
        <f>[8]MFP!$EC$89+[8]MFP!$CT$89+260527</f>
        <v>2084216</v>
      </c>
      <c r="S91" s="789">
        <f>Q91-R91</f>
        <v>1020020.5316563211</v>
      </c>
      <c r="T91" s="789">
        <f>S91/4</f>
        <v>255005.13291408028</v>
      </c>
      <c r="U91" s="790">
        <f>'[11]FY2011-12_Final'!$K$17</f>
        <v>4163</v>
      </c>
      <c r="V91" s="791">
        <f>U91*B91</f>
        <v>2651831</v>
      </c>
      <c r="W91" s="792">
        <f>'October midyear adj'!E129</f>
        <v>-12</v>
      </c>
      <c r="X91" s="791">
        <f>W91*U91</f>
        <v>-49956</v>
      </c>
      <c r="Y91" s="792">
        <f>'February midyear adj '!E133</f>
        <v>15</v>
      </c>
      <c r="Z91" s="791">
        <f>(U91*0.5)*Y91</f>
        <v>31222.5</v>
      </c>
      <c r="AA91" s="791">
        <f>X91+Z91</f>
        <v>-18733.5</v>
      </c>
      <c r="AB91" s="791">
        <f>V91+X91+Z91</f>
        <v>2633097.5</v>
      </c>
      <c r="AC91" s="791">
        <f>AB91*-0.25%</f>
        <v>-6582.7437500000005</v>
      </c>
      <c r="AD91" s="791">
        <f>SUM(AB91:AC91)</f>
        <v>2626514.7562500001</v>
      </c>
      <c r="AE91" s="790">
        <v>0</v>
      </c>
      <c r="AF91" s="791">
        <f>SUM(AD91:AE91)</f>
        <v>2626514.7562500001</v>
      </c>
      <c r="AG91" s="791">
        <f>[8]MFP!$EE$89+216251</f>
        <v>1730001</v>
      </c>
      <c r="AH91" s="791">
        <f>AF91-AG91</f>
        <v>896513.75625000009</v>
      </c>
      <c r="AI91" s="791">
        <f>AH91/4</f>
        <v>224128.43906250002</v>
      </c>
      <c r="AJ91" s="793">
        <f>Q91+AF91</f>
        <v>5730751.2879063208</v>
      </c>
      <c r="AK91" s="793">
        <f>T91+AI91</f>
        <v>479133.57197658031</v>
      </c>
      <c r="AL91" s="820">
        <f>AC91</f>
        <v>-6582.7437500000005</v>
      </c>
      <c r="AM91" s="820">
        <v>6504</v>
      </c>
      <c r="AN91" s="1519">
        <f t="shared" ref="AN91" si="105">SUM(AL91:AM91)</f>
        <v>-78.743750000000546</v>
      </c>
    </row>
    <row r="92" spans="1:40" ht="28.5" customHeight="1">
      <c r="A92" s="784" t="s">
        <v>687</v>
      </c>
      <c r="B92" s="797">
        <f>SUM(B91:B91)</f>
        <v>637</v>
      </c>
      <c r="C92" s="798"/>
      <c r="D92" s="798">
        <f>SUM(D91:D91)</f>
        <v>2746835.9224627996</v>
      </c>
      <c r="E92" s="798"/>
      <c r="F92" s="798">
        <f t="shared" ref="F92:T92" si="106">SUM(F91:F91)</f>
        <v>387321.48000000004</v>
      </c>
      <c r="G92" s="799">
        <f t="shared" si="106"/>
        <v>3134157.4024627996</v>
      </c>
      <c r="H92" s="799">
        <f>SUM(H91)</f>
        <v>-59042.211663349444</v>
      </c>
      <c r="I92" s="799">
        <f>SUM(I91)</f>
        <v>36901.382289593399</v>
      </c>
      <c r="J92" s="799">
        <f>SUM(J91)</f>
        <v>-22140.829373756045</v>
      </c>
      <c r="K92" s="799">
        <f>SUM(K91)</f>
        <v>3112016.5730890436</v>
      </c>
      <c r="L92" s="797">
        <f t="shared" si="106"/>
        <v>-7780.041432722609</v>
      </c>
      <c r="M92" s="832">
        <f t="shared" si="106"/>
        <v>3104236.5316563211</v>
      </c>
      <c r="N92" s="832">
        <f t="shared" si="106"/>
        <v>0</v>
      </c>
      <c r="O92" s="833">
        <f t="shared" si="106"/>
        <v>3104236.5316563211</v>
      </c>
      <c r="P92" s="799">
        <f>SUM(P91)</f>
        <v>0</v>
      </c>
      <c r="Q92" s="801">
        <f>SUM(Q91)</f>
        <v>3104236.5316563211</v>
      </c>
      <c r="R92" s="833">
        <f>SUM(R91)</f>
        <v>2084216</v>
      </c>
      <c r="S92" s="833">
        <f>SUM(S91)</f>
        <v>1020020.5316563211</v>
      </c>
      <c r="T92" s="833">
        <f t="shared" si="106"/>
        <v>255005.13291408028</v>
      </c>
      <c r="U92" s="800"/>
      <c r="V92" s="799">
        <f t="shared" ref="V92:AK92" si="107">SUM(V91:V91)</f>
        <v>2651831</v>
      </c>
      <c r="W92" s="802">
        <f t="shared" ref="W92:AB92" si="108">SUM(W91)</f>
        <v>-12</v>
      </c>
      <c r="X92" s="799">
        <f t="shared" si="108"/>
        <v>-49956</v>
      </c>
      <c r="Y92" s="802">
        <f t="shared" si="108"/>
        <v>15</v>
      </c>
      <c r="Z92" s="799">
        <f t="shared" si="108"/>
        <v>31222.5</v>
      </c>
      <c r="AA92" s="799">
        <f t="shared" si="108"/>
        <v>-18733.5</v>
      </c>
      <c r="AB92" s="799">
        <f t="shared" si="108"/>
        <v>2633097.5</v>
      </c>
      <c r="AC92" s="799">
        <f t="shared" si="107"/>
        <v>-6582.7437500000005</v>
      </c>
      <c r="AD92" s="799">
        <f t="shared" si="107"/>
        <v>2626514.7562500001</v>
      </c>
      <c r="AE92" s="799">
        <f t="shared" si="107"/>
        <v>0</v>
      </c>
      <c r="AF92" s="799">
        <f t="shared" si="107"/>
        <v>2626514.7562500001</v>
      </c>
      <c r="AG92" s="799">
        <f>SUM(AG91)</f>
        <v>1730001</v>
      </c>
      <c r="AH92" s="799">
        <f>SUM(AH91)</f>
        <v>896513.75625000009</v>
      </c>
      <c r="AI92" s="799">
        <f t="shared" si="107"/>
        <v>224128.43906250002</v>
      </c>
      <c r="AJ92" s="799">
        <f t="shared" si="107"/>
        <v>5730751.2879063208</v>
      </c>
      <c r="AK92" s="799">
        <f t="shared" si="107"/>
        <v>479133.57197658031</v>
      </c>
      <c r="AL92" s="820">
        <f>SUM(AL91)</f>
        <v>-6582.7437500000005</v>
      </c>
      <c r="AM92" s="820">
        <f t="shared" ref="AM92:AN92" si="109">SUM(AM91)</f>
        <v>6504</v>
      </c>
      <c r="AN92" s="1519">
        <f t="shared" si="109"/>
        <v>-78.743750000000546</v>
      </c>
    </row>
    <row r="93" spans="1:40" ht="9.75" customHeight="1">
      <c r="A93" s="804"/>
      <c r="B93" s="805"/>
      <c r="C93" s="806"/>
      <c r="D93" s="806"/>
      <c r="E93" s="806"/>
      <c r="F93" s="806"/>
      <c r="G93" s="806"/>
      <c r="H93" s="806"/>
      <c r="I93" s="806"/>
      <c r="J93" s="806"/>
      <c r="K93" s="806"/>
      <c r="L93" s="806"/>
      <c r="M93" s="806"/>
      <c r="N93" s="806"/>
      <c r="O93" s="806"/>
      <c r="P93" s="806"/>
      <c r="Q93" s="806"/>
      <c r="R93" s="806"/>
      <c r="S93" s="806"/>
      <c r="T93" s="806"/>
      <c r="U93" s="806"/>
      <c r="V93" s="806"/>
      <c r="W93" s="806"/>
      <c r="X93" s="806"/>
      <c r="Y93" s="806"/>
      <c r="Z93" s="806"/>
      <c r="AA93" s="806"/>
      <c r="AB93" s="806"/>
      <c r="AC93" s="806"/>
      <c r="AD93" s="806"/>
      <c r="AE93" s="806"/>
      <c r="AF93" s="806"/>
      <c r="AG93" s="806"/>
      <c r="AH93" s="806"/>
      <c r="AI93" s="806"/>
      <c r="AJ93" s="806"/>
      <c r="AK93" s="807"/>
    </row>
    <row r="94" spans="1:40" ht="34.5" customHeight="1">
      <c r="A94" s="784" t="s">
        <v>657</v>
      </c>
      <c r="B94" s="785"/>
      <c r="C94" s="786"/>
      <c r="D94" s="786"/>
      <c r="E94" s="787"/>
      <c r="F94" s="787"/>
      <c r="G94" s="787"/>
      <c r="H94" s="787"/>
      <c r="I94" s="787"/>
      <c r="J94" s="787"/>
      <c r="K94" s="787"/>
      <c r="L94" s="787">
        <f>-L92</f>
        <v>7780.041432722609</v>
      </c>
      <c r="M94" s="788">
        <f>L94</f>
        <v>7780.041432722609</v>
      </c>
      <c r="N94" s="788"/>
      <c r="O94" s="789"/>
      <c r="P94" s="787"/>
      <c r="Q94" s="789"/>
      <c r="R94" s="789">
        <v>7835</v>
      </c>
      <c r="S94" s="789">
        <f>M94-R94</f>
        <v>-54.958567277391012</v>
      </c>
      <c r="T94" s="789">
        <f>M94</f>
        <v>7780.041432722609</v>
      </c>
      <c r="U94" s="810"/>
      <c r="V94" s="811">
        <f>SUM(V92:V93)</f>
        <v>2651831</v>
      </c>
      <c r="W94" s="811"/>
      <c r="X94" s="811"/>
      <c r="Y94" s="811"/>
      <c r="Z94" s="811"/>
      <c r="AA94" s="811"/>
      <c r="AB94" s="811"/>
      <c r="AC94" s="811">
        <f>-AC92</f>
        <v>6582.7437500000005</v>
      </c>
      <c r="AD94" s="811">
        <f>AC94</f>
        <v>6582.7437500000005</v>
      </c>
      <c r="AE94" s="811"/>
      <c r="AF94" s="811"/>
      <c r="AG94" s="811">
        <v>6504</v>
      </c>
      <c r="AH94" s="811">
        <f>AD94-AG94</f>
        <v>78.743750000000546</v>
      </c>
      <c r="AI94" s="811"/>
      <c r="AJ94" s="812"/>
      <c r="AK94" s="812"/>
    </row>
    <row r="95" spans="1:40" ht="9.75" customHeight="1">
      <c r="A95" s="804"/>
      <c r="B95" s="805"/>
      <c r="C95" s="806"/>
      <c r="D95" s="806"/>
      <c r="E95" s="806"/>
      <c r="F95" s="806"/>
      <c r="G95" s="806"/>
      <c r="H95" s="806"/>
      <c r="I95" s="806"/>
      <c r="J95" s="806"/>
      <c r="K95" s="806"/>
      <c r="L95" s="806"/>
      <c r="M95" s="806"/>
      <c r="N95" s="806"/>
      <c r="O95" s="806"/>
      <c r="P95" s="806"/>
      <c r="Q95" s="806"/>
      <c r="R95" s="806"/>
      <c r="S95" s="806"/>
      <c r="T95" s="806"/>
      <c r="U95" s="828"/>
      <c r="V95" s="828"/>
      <c r="W95" s="828"/>
      <c r="X95" s="828"/>
      <c r="Y95" s="828"/>
      <c r="Z95" s="828"/>
      <c r="AA95" s="828"/>
      <c r="AB95" s="828"/>
      <c r="AC95" s="829"/>
      <c r="AD95" s="829"/>
      <c r="AE95" s="829"/>
      <c r="AF95" s="828"/>
      <c r="AG95" s="828"/>
      <c r="AH95" s="828"/>
      <c r="AI95" s="828"/>
      <c r="AJ95" s="828"/>
      <c r="AK95" s="830"/>
    </row>
    <row r="96" spans="1:40" ht="36" customHeight="1">
      <c r="A96" s="784" t="s">
        <v>688</v>
      </c>
      <c r="B96" s="785">
        <f t="shared" ref="B96:G96" si="110">SUM(B92:B94)</f>
        <v>637</v>
      </c>
      <c r="C96" s="786">
        <f t="shared" si="110"/>
        <v>0</v>
      </c>
      <c r="D96" s="786">
        <f t="shared" si="110"/>
        <v>2746835.9224627996</v>
      </c>
      <c r="E96" s="799"/>
      <c r="F96" s="799">
        <f t="shared" si="110"/>
        <v>387321.48000000004</v>
      </c>
      <c r="G96" s="799">
        <f t="shared" si="110"/>
        <v>3134157.4024627996</v>
      </c>
      <c r="H96" s="799"/>
      <c r="I96" s="799"/>
      <c r="J96" s="799"/>
      <c r="K96" s="799"/>
      <c r="L96" s="799">
        <f>L94+L92</f>
        <v>0</v>
      </c>
      <c r="M96" s="800">
        <f>M94+M92</f>
        <v>3112016.5730890436</v>
      </c>
      <c r="N96" s="800"/>
      <c r="O96" s="801"/>
      <c r="P96" s="799"/>
      <c r="Q96" s="801"/>
      <c r="R96" s="801"/>
      <c r="S96" s="801"/>
      <c r="T96" s="801">
        <f>SUM(T92)</f>
        <v>255005.13291408028</v>
      </c>
      <c r="U96" s="810"/>
      <c r="V96" s="811">
        <f>SUM(V92:V93)</f>
        <v>2651831</v>
      </c>
      <c r="W96" s="811"/>
      <c r="X96" s="811"/>
      <c r="Y96" s="811"/>
      <c r="Z96" s="811"/>
      <c r="AA96" s="811"/>
      <c r="AB96" s="811"/>
      <c r="AC96" s="811">
        <f>SUM(AC92:AC94)</f>
        <v>0</v>
      </c>
      <c r="AD96" s="811">
        <f>SUM(AD92:AD94)</f>
        <v>2633097.5</v>
      </c>
      <c r="AE96" s="811">
        <f>SUM(AE92:AE93)</f>
        <v>0</v>
      </c>
      <c r="AF96" s="812"/>
      <c r="AG96" s="812"/>
      <c r="AH96" s="812"/>
      <c r="AI96" s="812"/>
      <c r="AJ96" s="812"/>
      <c r="AK96" s="812"/>
    </row>
    <row r="97" spans="1:26" ht="42" customHeight="1">
      <c r="B97" s="1751"/>
      <c r="C97" s="1751"/>
      <c r="D97" s="1751"/>
      <c r="E97" s="1751"/>
      <c r="F97" s="1751"/>
      <c r="G97" s="1751"/>
      <c r="H97" s="1751"/>
      <c r="I97" s="1751"/>
      <c r="J97" s="1751"/>
      <c r="K97" s="1751"/>
      <c r="L97" s="1751"/>
      <c r="M97" s="1751"/>
      <c r="N97" s="1751"/>
      <c r="O97" s="1751"/>
      <c r="P97" s="1751"/>
      <c r="Q97" s="1751"/>
      <c r="R97" s="1751"/>
      <c r="S97" s="1751"/>
      <c r="T97" s="1751"/>
      <c r="U97" s="1751"/>
    </row>
    <row r="98" spans="1:26" ht="28.5" customHeight="1">
      <c r="B98" s="818"/>
    </row>
    <row r="99" spans="1:26" ht="12.75"/>
    <row r="100" spans="1:26" ht="12.75"/>
    <row r="101" spans="1:26" s="1507" customFormat="1" ht="28.5" hidden="1" customHeight="1">
      <c r="A101" s="1507" t="str">
        <f ca="1">CELL("filename")</f>
        <v xml:space="preserve">I:\COMM\Content\Website Content\0 Library\Minimum Foundation Program\[2011-2012 Final Budget Spreadsheet.xlsx]Table 1 State Summary </v>
      </c>
      <c r="D101" s="1508"/>
      <c r="E101" s="1508"/>
      <c r="F101" s="1508"/>
      <c r="N101" s="1509" t="s">
        <v>689</v>
      </c>
      <c r="X101" s="1509" t="s">
        <v>690</v>
      </c>
      <c r="Z101" s="1510" t="s">
        <v>691</v>
      </c>
    </row>
    <row r="102" spans="1:26" s="1507" customFormat="1" ht="23.25" hidden="1" customHeight="1">
      <c r="D102" s="1508"/>
      <c r="E102" s="1508"/>
      <c r="F102" s="1508"/>
      <c r="N102" s="1511">
        <f>R11+R28+R47+R65+R79+R92</f>
        <v>5159043.449843714</v>
      </c>
      <c r="X102" s="1512">
        <f>AG11+AG28+AG47+AG65+AI79+AG92</f>
        <v>4456352.6983333342</v>
      </c>
      <c r="Z102" s="1512">
        <f>N102+X102</f>
        <v>9615396.1481770482</v>
      </c>
    </row>
    <row r="103" spans="1:26" s="1507" customFormat="1" ht="28.5" hidden="1" customHeight="1">
      <c r="D103" s="1508"/>
      <c r="E103" s="1508"/>
      <c r="F103" s="1508"/>
    </row>
    <row r="104" spans="1:26" s="1507" customFormat="1" ht="28.5" hidden="1" customHeight="1">
      <c r="D104" s="1508"/>
      <c r="E104" s="1508"/>
      <c r="F104" s="1508"/>
    </row>
  </sheetData>
  <sheetProtection selectLockedCells="1" selectUnlockedCells="1"/>
  <mergeCells count="242">
    <mergeCell ref="I3:I4"/>
    <mergeCell ref="J3:J4"/>
    <mergeCell ref="K3:K4"/>
    <mergeCell ref="L3:L4"/>
    <mergeCell ref="M3:M4"/>
    <mergeCell ref="N3:N4"/>
    <mergeCell ref="H2:J2"/>
    <mergeCell ref="W2:AA2"/>
    <mergeCell ref="A3:A4"/>
    <mergeCell ref="B3:B4"/>
    <mergeCell ref="C3:C4"/>
    <mergeCell ref="D3:D4"/>
    <mergeCell ref="E3:E4"/>
    <mergeCell ref="F3:F4"/>
    <mergeCell ref="G3:G4"/>
    <mergeCell ref="H3:H4"/>
    <mergeCell ref="AG3:AG4"/>
    <mergeCell ref="AH3:AH4"/>
    <mergeCell ref="AI3:AI4"/>
    <mergeCell ref="AJ3:AJ4"/>
    <mergeCell ref="AK3:AK4"/>
    <mergeCell ref="B17:U17"/>
    <mergeCell ref="AA3:AA4"/>
    <mergeCell ref="AB3:AB4"/>
    <mergeCell ref="AC3:AC4"/>
    <mergeCell ref="AD3:AD4"/>
    <mergeCell ref="AE3:AE4"/>
    <mergeCell ref="AF3:AF4"/>
    <mergeCell ref="U3:U4"/>
    <mergeCell ref="V3:V4"/>
    <mergeCell ref="W3:W4"/>
    <mergeCell ref="X3:X4"/>
    <mergeCell ref="Y3:Y4"/>
    <mergeCell ref="Z3:Z4"/>
    <mergeCell ref="O3:O4"/>
    <mergeCell ref="P3:P4"/>
    <mergeCell ref="Q3:Q4"/>
    <mergeCell ref="R3:R4"/>
    <mergeCell ref="S3:S4"/>
    <mergeCell ref="T3:T4"/>
    <mergeCell ref="I21:I22"/>
    <mergeCell ref="J21:J22"/>
    <mergeCell ref="K21:K22"/>
    <mergeCell ref="L21:L22"/>
    <mergeCell ref="M21:M22"/>
    <mergeCell ref="N21:N22"/>
    <mergeCell ref="H20:J20"/>
    <mergeCell ref="W20:AA20"/>
    <mergeCell ref="A21:A22"/>
    <mergeCell ref="B21:B22"/>
    <mergeCell ref="C21:C22"/>
    <mergeCell ref="D21:D22"/>
    <mergeCell ref="E21:E22"/>
    <mergeCell ref="F21:F22"/>
    <mergeCell ref="G21:G22"/>
    <mergeCell ref="H21:H22"/>
    <mergeCell ref="AG21:AG22"/>
    <mergeCell ref="AH21:AH22"/>
    <mergeCell ref="AI21:AI22"/>
    <mergeCell ref="AJ21:AJ22"/>
    <mergeCell ref="AK21:AK22"/>
    <mergeCell ref="B34:U34"/>
    <mergeCell ref="AA21:AA22"/>
    <mergeCell ref="AB21:AB22"/>
    <mergeCell ref="AC21:AC22"/>
    <mergeCell ref="AD21:AD22"/>
    <mergeCell ref="AE21:AE22"/>
    <mergeCell ref="AF21:AF22"/>
    <mergeCell ref="U21:U22"/>
    <mergeCell ref="V21:V22"/>
    <mergeCell ref="W21:W22"/>
    <mergeCell ref="X21:X22"/>
    <mergeCell ref="Y21:Y22"/>
    <mergeCell ref="Z21:Z22"/>
    <mergeCell ref="O21:O22"/>
    <mergeCell ref="P21:P22"/>
    <mergeCell ref="Q21:Q22"/>
    <mergeCell ref="R21:R22"/>
    <mergeCell ref="S21:S22"/>
    <mergeCell ref="T21:T22"/>
    <mergeCell ref="I38:I39"/>
    <mergeCell ref="J38:J39"/>
    <mergeCell ref="K38:K39"/>
    <mergeCell ref="L38:L39"/>
    <mergeCell ref="M38:M39"/>
    <mergeCell ref="N38:N39"/>
    <mergeCell ref="H37:J37"/>
    <mergeCell ref="W37:AA37"/>
    <mergeCell ref="A38:A39"/>
    <mergeCell ref="B38:B39"/>
    <mergeCell ref="C38:C39"/>
    <mergeCell ref="D38:D39"/>
    <mergeCell ref="E38:E39"/>
    <mergeCell ref="F38:F39"/>
    <mergeCell ref="G38:G39"/>
    <mergeCell ref="H38:H39"/>
    <mergeCell ref="AG38:AG39"/>
    <mergeCell ref="AH38:AH39"/>
    <mergeCell ref="AI38:AI39"/>
    <mergeCell ref="AJ38:AJ39"/>
    <mergeCell ref="AK38:AK39"/>
    <mergeCell ref="B53:U53"/>
    <mergeCell ref="AA38:AA39"/>
    <mergeCell ref="AB38:AB39"/>
    <mergeCell ref="AC38:AC39"/>
    <mergeCell ref="AD38:AD39"/>
    <mergeCell ref="AE38:AE39"/>
    <mergeCell ref="AF38:AF39"/>
    <mergeCell ref="U38:U39"/>
    <mergeCell ref="V38:V39"/>
    <mergeCell ref="W38:W39"/>
    <mergeCell ref="X38:X39"/>
    <mergeCell ref="Y38:Y39"/>
    <mergeCell ref="Z38:Z39"/>
    <mergeCell ref="O38:O39"/>
    <mergeCell ref="P38:P39"/>
    <mergeCell ref="Q38:Q39"/>
    <mergeCell ref="R38:R39"/>
    <mergeCell ref="S38:S39"/>
    <mergeCell ref="T38:T39"/>
    <mergeCell ref="I57:I58"/>
    <mergeCell ref="J57:J58"/>
    <mergeCell ref="K57:K58"/>
    <mergeCell ref="L57:L58"/>
    <mergeCell ref="M57:M58"/>
    <mergeCell ref="N57:N58"/>
    <mergeCell ref="H56:J56"/>
    <mergeCell ref="W56:AA56"/>
    <mergeCell ref="A57:A58"/>
    <mergeCell ref="B57:B58"/>
    <mergeCell ref="C57:C58"/>
    <mergeCell ref="D57:D58"/>
    <mergeCell ref="E57:E58"/>
    <mergeCell ref="F57:F58"/>
    <mergeCell ref="G57:G58"/>
    <mergeCell ref="H57:H58"/>
    <mergeCell ref="AG57:AG58"/>
    <mergeCell ref="AH57:AH58"/>
    <mergeCell ref="AI57:AI58"/>
    <mergeCell ref="AJ57:AJ58"/>
    <mergeCell ref="AK57:AK58"/>
    <mergeCell ref="B70:U70"/>
    <mergeCell ref="AA57:AA58"/>
    <mergeCell ref="AB57:AB58"/>
    <mergeCell ref="AC57:AC58"/>
    <mergeCell ref="AD57:AD58"/>
    <mergeCell ref="AE57:AE58"/>
    <mergeCell ref="AF57:AF58"/>
    <mergeCell ref="U57:U58"/>
    <mergeCell ref="V57:V58"/>
    <mergeCell ref="W57:W58"/>
    <mergeCell ref="X57:X58"/>
    <mergeCell ref="Y57:Y58"/>
    <mergeCell ref="Z57:Z58"/>
    <mergeCell ref="O57:O58"/>
    <mergeCell ref="P57:P58"/>
    <mergeCell ref="Q57:Q58"/>
    <mergeCell ref="R57:R58"/>
    <mergeCell ref="S57:S58"/>
    <mergeCell ref="T57:T58"/>
    <mergeCell ref="H73:J73"/>
    <mergeCell ref="Y73:AC73"/>
    <mergeCell ref="A74:A75"/>
    <mergeCell ref="B74:B75"/>
    <mergeCell ref="C74:C75"/>
    <mergeCell ref="D74:D75"/>
    <mergeCell ref="E74:E75"/>
    <mergeCell ref="F74:F75"/>
    <mergeCell ref="G74:G75"/>
    <mergeCell ref="H74:H75"/>
    <mergeCell ref="A88:A89"/>
    <mergeCell ref="B88:B89"/>
    <mergeCell ref="C88:C89"/>
    <mergeCell ref="D88:D89"/>
    <mergeCell ref="E88:E89"/>
    <mergeCell ref="F88:F89"/>
    <mergeCell ref="AG74:AG75"/>
    <mergeCell ref="AH74:AH75"/>
    <mergeCell ref="AI74:AI75"/>
    <mergeCell ref="AA74:AA75"/>
    <mergeCell ref="AB74:AB75"/>
    <mergeCell ref="AC74:AC75"/>
    <mergeCell ref="AD74:AD75"/>
    <mergeCell ref="AE74:AE75"/>
    <mergeCell ref="AF74:AF75"/>
    <mergeCell ref="U74:U75"/>
    <mergeCell ref="V74:V75"/>
    <mergeCell ref="W74:W75"/>
    <mergeCell ref="X74:X75"/>
    <mergeCell ref="Y74:Y75"/>
    <mergeCell ref="Z74:Z75"/>
    <mergeCell ref="O74:O75"/>
    <mergeCell ref="P74:P75"/>
    <mergeCell ref="Q74:Q75"/>
    <mergeCell ref="Q88:Q89"/>
    <mergeCell ref="R88:R89"/>
    <mergeCell ref="G88:G89"/>
    <mergeCell ref="H88:H89"/>
    <mergeCell ref="I88:I89"/>
    <mergeCell ref="J88:J89"/>
    <mergeCell ref="K88:K89"/>
    <mergeCell ref="L88:L89"/>
    <mergeCell ref="AM74:AM75"/>
    <mergeCell ref="B84:U84"/>
    <mergeCell ref="H87:J87"/>
    <mergeCell ref="W87:AA87"/>
    <mergeCell ref="AJ74:AJ75"/>
    <mergeCell ref="AK74:AK75"/>
    <mergeCell ref="AL74:AL75"/>
    <mergeCell ref="R74:R75"/>
    <mergeCell ref="S74:S75"/>
    <mergeCell ref="T74:T75"/>
    <mergeCell ref="I74:I75"/>
    <mergeCell ref="J74:J75"/>
    <mergeCell ref="K74:K75"/>
    <mergeCell ref="L74:L75"/>
    <mergeCell ref="M74:M75"/>
    <mergeCell ref="N74:N75"/>
    <mergeCell ref="AK88:AK89"/>
    <mergeCell ref="B97:U97"/>
    <mergeCell ref="AE88:AE89"/>
    <mergeCell ref="AF88:AF89"/>
    <mergeCell ref="AG88:AG89"/>
    <mergeCell ref="AH88:AH89"/>
    <mergeCell ref="AI88:AI89"/>
    <mergeCell ref="AJ88:AJ89"/>
    <mergeCell ref="Y88:Y89"/>
    <mergeCell ref="Z88:Z89"/>
    <mergeCell ref="AA88:AA89"/>
    <mergeCell ref="AB88:AB89"/>
    <mergeCell ref="AC88:AC89"/>
    <mergeCell ref="AD88:AD89"/>
    <mergeCell ref="S88:S89"/>
    <mergeCell ref="T88:T89"/>
    <mergeCell ref="U88:U89"/>
    <mergeCell ref="V88:V89"/>
    <mergeCell ref="W88:W89"/>
    <mergeCell ref="X88:X89"/>
    <mergeCell ref="M88:M89"/>
    <mergeCell ref="N88:N89"/>
    <mergeCell ref="O88:O89"/>
    <mergeCell ref="P88:P89"/>
  </mergeCells>
  <printOptions horizontalCentered="1"/>
  <pageMargins left="0.25" right="0.25" top="0.25" bottom="0.25" header="0.25" footer="0.25"/>
  <pageSetup paperSize="5" scale="40" firstPageNumber="23" pageOrder="overThenDown" orientation="landscape" useFirstPageNumber="1" r:id="rId1"/>
  <headerFooter alignWithMargins="0">
    <oddHeader>&amp;L&amp;"Arial Narrow,Bold"&amp;22Table 5C-1 FY2011-12 Budget Letter (March 2012)</oddHeader>
    <oddFooter>&amp;R&amp;P</oddFooter>
  </headerFooter>
  <rowBreaks count="5" manualBreakCount="5">
    <brk id="19" max="38" man="1"/>
    <brk id="36" max="38" man="1"/>
    <brk id="55" max="38" man="1"/>
    <brk id="72" max="38" man="1"/>
    <brk id="86" max="38" man="1"/>
  </rowBreaks>
  <colBreaks count="1" manualBreakCount="1">
    <brk id="20" max="99" man="1"/>
  </colBreaks>
</worksheet>
</file>

<file path=xl/worksheets/sheet12.xml><?xml version="1.0" encoding="utf-8"?>
<worksheet xmlns="http://schemas.openxmlformats.org/spreadsheetml/2006/main" xmlns:r="http://schemas.openxmlformats.org/officeDocument/2006/relationships">
  <dimension ref="A1:AQ84"/>
  <sheetViews>
    <sheetView view="pageBreakPreview" zoomScale="60" zoomScaleNormal="85" workbookViewId="0">
      <pane xSplit="2" ySplit="4" topLeftCell="C5" activePane="bottomRight" state="frozen"/>
      <selection pane="topRight"/>
      <selection pane="bottomLeft"/>
      <selection pane="bottomRight" activeCell="B74" sqref="B74"/>
    </sheetView>
  </sheetViews>
  <sheetFormatPr defaultRowHeight="28.5" customHeight="1"/>
  <cols>
    <col min="1" max="1" width="6" style="774" customWidth="1"/>
    <col min="2" max="2" width="36.5703125" style="774" customWidth="1"/>
    <col min="3" max="3" width="16" style="774" customWidth="1"/>
    <col min="4" max="4" width="16.28515625" style="774" customWidth="1"/>
    <col min="5" max="5" width="17.140625" style="817" customWidth="1"/>
    <col min="6" max="7" width="16.28515625" style="817" customWidth="1"/>
    <col min="8" max="12" width="17.7109375" style="774" customWidth="1"/>
    <col min="13" max="13" width="16.28515625" style="774" customWidth="1"/>
    <col min="14" max="14" width="16.42578125" style="774" customWidth="1"/>
    <col min="15" max="15" width="14.7109375" style="774" customWidth="1"/>
    <col min="16" max="16" width="17.5703125" style="774" bestFit="1" customWidth="1"/>
    <col min="17" max="17" width="13.28515625" style="774" customWidth="1"/>
    <col min="18" max="20" width="17.5703125" style="774" customWidth="1"/>
    <col min="21" max="21" width="15.28515625" style="774" bestFit="1" customWidth="1"/>
    <col min="22" max="22" width="12.85546875" style="774" customWidth="1"/>
    <col min="23" max="29" width="16.28515625" style="774" customWidth="1"/>
    <col min="30" max="30" width="12.7109375" style="774" bestFit="1" customWidth="1"/>
    <col min="31" max="31" width="16.28515625" style="774" bestFit="1" customWidth="1"/>
    <col min="32" max="32" width="15.42578125" style="774" bestFit="1" customWidth="1"/>
    <col min="33" max="33" width="16.28515625" style="774" bestFit="1" customWidth="1"/>
    <col min="34" max="34" width="17.7109375" style="774" bestFit="1" customWidth="1"/>
    <col min="35" max="35" width="16.28515625" style="774" customWidth="1"/>
    <col min="36" max="36" width="14" style="774" customWidth="1"/>
    <col min="37" max="37" width="17.42578125" style="774" customWidth="1"/>
    <col min="38" max="38" width="16" style="774" customWidth="1"/>
    <col min="39" max="42" width="0" style="1507" hidden="1" customWidth="1"/>
    <col min="43" max="43" width="11.28515625" style="1507" hidden="1" customWidth="1"/>
    <col min="44" max="16384" width="9.140625" style="774"/>
  </cols>
  <sheetData>
    <row r="1" spans="1:43" ht="57.75" customHeight="1">
      <c r="I1" s="1790" t="s">
        <v>156</v>
      </c>
      <c r="J1" s="1791"/>
      <c r="K1" s="1792"/>
      <c r="L1" s="835"/>
      <c r="X1" s="1748" t="s">
        <v>544</v>
      </c>
      <c r="Y1" s="1749"/>
      <c r="Z1" s="1749"/>
      <c r="AA1" s="1749"/>
      <c r="AB1" s="1750"/>
      <c r="AC1" s="777"/>
    </row>
    <row r="2" spans="1:43" ht="88.5" customHeight="1">
      <c r="A2" s="1793" t="s">
        <v>248</v>
      </c>
      <c r="B2" s="1793" t="s">
        <v>692</v>
      </c>
      <c r="C2" s="1795" t="s">
        <v>693</v>
      </c>
      <c r="D2" s="1796" t="s">
        <v>694</v>
      </c>
      <c r="E2" s="1784" t="s">
        <v>620</v>
      </c>
      <c r="F2" s="1798" t="s">
        <v>695</v>
      </c>
      <c r="G2" s="1799" t="s">
        <v>696</v>
      </c>
      <c r="H2" s="1784" t="s">
        <v>623</v>
      </c>
      <c r="I2" s="1801" t="s">
        <v>552</v>
      </c>
      <c r="J2" s="1801" t="s">
        <v>553</v>
      </c>
      <c r="K2" s="1801" t="s">
        <v>554</v>
      </c>
      <c r="L2" s="1801" t="s">
        <v>697</v>
      </c>
      <c r="M2" s="1803" t="s">
        <v>698</v>
      </c>
      <c r="N2" s="1784" t="s">
        <v>625</v>
      </c>
      <c r="O2" s="1782" t="s">
        <v>650</v>
      </c>
      <c r="P2" s="1784" t="s">
        <v>627</v>
      </c>
      <c r="Q2" s="1785" t="s">
        <v>442</v>
      </c>
      <c r="R2" s="1784" t="s">
        <v>699</v>
      </c>
      <c r="S2" s="1787" t="s">
        <v>444</v>
      </c>
      <c r="T2" s="1787" t="s">
        <v>445</v>
      </c>
      <c r="U2" s="1787" t="s">
        <v>700</v>
      </c>
      <c r="V2" s="1789" t="s">
        <v>701</v>
      </c>
      <c r="W2" s="1789" t="s">
        <v>565</v>
      </c>
      <c r="X2" s="1661" t="s">
        <v>566</v>
      </c>
      <c r="Y2" s="1661" t="s">
        <v>567</v>
      </c>
      <c r="Z2" s="1661" t="s">
        <v>568</v>
      </c>
      <c r="AA2" s="1661" t="s">
        <v>569</v>
      </c>
      <c r="AB2" s="1661" t="s">
        <v>570</v>
      </c>
      <c r="AC2" s="1775" t="s">
        <v>571</v>
      </c>
      <c r="AD2" s="1776" t="s">
        <v>702</v>
      </c>
      <c r="AE2" s="1778" t="s">
        <v>632</v>
      </c>
      <c r="AF2" s="1780" t="s">
        <v>633</v>
      </c>
      <c r="AG2" s="1771" t="s">
        <v>634</v>
      </c>
      <c r="AH2" s="1771" t="s">
        <v>574</v>
      </c>
      <c r="AI2" s="1771" t="s">
        <v>445</v>
      </c>
      <c r="AJ2" s="1771" t="s">
        <v>575</v>
      </c>
      <c r="AK2" s="1773" t="s">
        <v>703</v>
      </c>
      <c r="AL2" s="1773" t="s">
        <v>577</v>
      </c>
      <c r="AO2" s="1767" t="s">
        <v>1163</v>
      </c>
      <c r="AQ2" s="1767" t="s">
        <v>1164</v>
      </c>
    </row>
    <row r="3" spans="1:43" ht="85.5" customHeight="1">
      <c r="A3" s="1794"/>
      <c r="B3" s="1794"/>
      <c r="C3" s="1795"/>
      <c r="D3" s="1797"/>
      <c r="E3" s="1784"/>
      <c r="F3" s="1798"/>
      <c r="G3" s="1800"/>
      <c r="H3" s="1784"/>
      <c r="I3" s="1802"/>
      <c r="J3" s="1802"/>
      <c r="K3" s="1802"/>
      <c r="L3" s="1802"/>
      <c r="M3" s="1797"/>
      <c r="N3" s="1784"/>
      <c r="O3" s="1783"/>
      <c r="P3" s="1784"/>
      <c r="Q3" s="1786"/>
      <c r="R3" s="1784"/>
      <c r="S3" s="1788"/>
      <c r="T3" s="1788"/>
      <c r="U3" s="1788"/>
      <c r="V3" s="1777"/>
      <c r="W3" s="1777"/>
      <c r="X3" s="1663"/>
      <c r="Y3" s="1663"/>
      <c r="Z3" s="1663"/>
      <c r="AA3" s="1663"/>
      <c r="AB3" s="1663"/>
      <c r="AC3" s="1775"/>
      <c r="AD3" s="1777"/>
      <c r="AE3" s="1779"/>
      <c r="AF3" s="1781"/>
      <c r="AG3" s="1772"/>
      <c r="AH3" s="1772"/>
      <c r="AI3" s="1772"/>
      <c r="AJ3" s="1772"/>
      <c r="AK3" s="1774"/>
      <c r="AL3" s="1774"/>
      <c r="AO3" s="1767"/>
      <c r="AQ3" s="1768"/>
    </row>
    <row r="4" spans="1:43" s="783" customFormat="1" ht="18" customHeight="1">
      <c r="A4" s="779"/>
      <c r="B4" s="779"/>
      <c r="C4" s="780">
        <v>1</v>
      </c>
      <c r="D4" s="781">
        <f>C4+1</f>
        <v>2</v>
      </c>
      <c r="E4" s="781">
        <f>D4+1</f>
        <v>3</v>
      </c>
      <c r="F4" s="781">
        <f>E4+1</f>
        <v>4</v>
      </c>
      <c r="G4" s="781">
        <f>F4+1</f>
        <v>5</v>
      </c>
      <c r="H4" s="781">
        <f t="shared" ref="H4:AL4" si="0">G4+1</f>
        <v>6</v>
      </c>
      <c r="I4" s="781">
        <f t="shared" si="0"/>
        <v>7</v>
      </c>
      <c r="J4" s="781">
        <f t="shared" si="0"/>
        <v>8</v>
      </c>
      <c r="K4" s="781">
        <f t="shared" si="0"/>
        <v>9</v>
      </c>
      <c r="L4" s="781">
        <f t="shared" si="0"/>
        <v>10</v>
      </c>
      <c r="M4" s="781">
        <f t="shared" si="0"/>
        <v>11</v>
      </c>
      <c r="N4" s="781">
        <f t="shared" si="0"/>
        <v>12</v>
      </c>
      <c r="O4" s="781">
        <f t="shared" si="0"/>
        <v>13</v>
      </c>
      <c r="P4" s="781">
        <f t="shared" si="0"/>
        <v>14</v>
      </c>
      <c r="Q4" s="781">
        <f t="shared" si="0"/>
        <v>15</v>
      </c>
      <c r="R4" s="781">
        <f t="shared" si="0"/>
        <v>16</v>
      </c>
      <c r="S4" s="781">
        <f t="shared" si="0"/>
        <v>17</v>
      </c>
      <c r="T4" s="781">
        <f t="shared" si="0"/>
        <v>18</v>
      </c>
      <c r="U4" s="781">
        <f t="shared" si="0"/>
        <v>19</v>
      </c>
      <c r="V4" s="781">
        <f t="shared" si="0"/>
        <v>20</v>
      </c>
      <c r="W4" s="781">
        <f t="shared" si="0"/>
        <v>21</v>
      </c>
      <c r="X4" s="781">
        <f t="shared" si="0"/>
        <v>22</v>
      </c>
      <c r="Y4" s="781">
        <f t="shared" si="0"/>
        <v>23</v>
      </c>
      <c r="Z4" s="781">
        <f t="shared" si="0"/>
        <v>24</v>
      </c>
      <c r="AA4" s="781">
        <f t="shared" si="0"/>
        <v>25</v>
      </c>
      <c r="AB4" s="781">
        <f t="shared" si="0"/>
        <v>26</v>
      </c>
      <c r="AC4" s="781">
        <f t="shared" si="0"/>
        <v>27</v>
      </c>
      <c r="AD4" s="781">
        <f t="shared" si="0"/>
        <v>28</v>
      </c>
      <c r="AE4" s="781">
        <f t="shared" si="0"/>
        <v>29</v>
      </c>
      <c r="AF4" s="781">
        <f t="shared" si="0"/>
        <v>30</v>
      </c>
      <c r="AG4" s="781">
        <f t="shared" si="0"/>
        <v>31</v>
      </c>
      <c r="AH4" s="781">
        <f t="shared" si="0"/>
        <v>32</v>
      </c>
      <c r="AI4" s="781">
        <f t="shared" si="0"/>
        <v>33</v>
      </c>
      <c r="AJ4" s="781">
        <f t="shared" si="0"/>
        <v>34</v>
      </c>
      <c r="AK4" s="781">
        <f t="shared" si="0"/>
        <v>35</v>
      </c>
      <c r="AL4" s="781">
        <f t="shared" si="0"/>
        <v>36</v>
      </c>
      <c r="AM4" s="1515"/>
      <c r="AN4" s="1515"/>
      <c r="AO4" s="1515"/>
      <c r="AP4" s="1515"/>
      <c r="AQ4" s="1515"/>
    </row>
    <row r="5" spans="1:43" s="795" customFormat="1" ht="17.25" customHeight="1">
      <c r="A5" s="836">
        <v>1</v>
      </c>
      <c r="B5" s="837" t="s">
        <v>179</v>
      </c>
      <c r="C5" s="838">
        <v>15</v>
      </c>
      <c r="D5" s="839">
        <f>'Table 3 Levels 1&amp;2'!AL8*90%</f>
        <v>4209.3</v>
      </c>
      <c r="E5" s="839">
        <f>C5*D5</f>
        <v>63139.5</v>
      </c>
      <c r="F5" s="840">
        <f>'Table 4 Level 3'!P6*90%</f>
        <v>699.73200000000008</v>
      </c>
      <c r="G5" s="840">
        <f>F5*C5</f>
        <v>10495.980000000001</v>
      </c>
      <c r="H5" s="840">
        <f>E5+G5</f>
        <v>73635.48</v>
      </c>
      <c r="I5" s="840">
        <f>'Oct midyear adj_LA virtual'!K6</f>
        <v>58908.384000000005</v>
      </c>
      <c r="J5" s="840">
        <f>'Feb midyear adj_LA virtual '!K6</f>
        <v>-14727.096000000001</v>
      </c>
      <c r="K5" s="840">
        <f>I5+J5</f>
        <v>44181.288</v>
      </c>
      <c r="L5" s="840">
        <f>SUM(H5:J5)</f>
        <v>117816.768</v>
      </c>
      <c r="M5" s="840">
        <f>ROUND(-0.25%*L5,0)</f>
        <v>-295</v>
      </c>
      <c r="N5" s="841">
        <f>L5+M5</f>
        <v>117521.768</v>
      </c>
      <c r="O5" s="841">
        <v>0</v>
      </c>
      <c r="P5" s="842">
        <f>SUM(N5:O5)</f>
        <v>117521.768</v>
      </c>
      <c r="Q5" s="843"/>
      <c r="R5" s="842">
        <f>P5+Q5</f>
        <v>117521.768</v>
      </c>
      <c r="S5" s="842">
        <f>6121*8</f>
        <v>48968</v>
      </c>
      <c r="T5" s="842">
        <f>R5-S5</f>
        <v>68553.767999999996</v>
      </c>
      <c r="U5" s="842">
        <f>ROUND(T5/4,0)</f>
        <v>17138</v>
      </c>
      <c r="V5" s="844">
        <f>'[11]FY2011-12_Final'!$K8*90%</f>
        <v>1824.3</v>
      </c>
      <c r="W5" s="845">
        <f t="shared" ref="W5:W68" si="1">V5*C5</f>
        <v>27364.5</v>
      </c>
      <c r="X5" s="846">
        <f>'Oct midyear adj_LA virtual'!E6</f>
        <v>12</v>
      </c>
      <c r="Y5" s="845">
        <f>X5*V5</f>
        <v>21891.599999999999</v>
      </c>
      <c r="Z5" s="846">
        <f>'Feb midyear adj_LA virtual '!E6</f>
        <v>-6</v>
      </c>
      <c r="AA5" s="845">
        <f>(V5*0.5)*Z5</f>
        <v>-5472.9</v>
      </c>
      <c r="AB5" s="845">
        <f>Y5+AA5</f>
        <v>16418.699999999997</v>
      </c>
      <c r="AC5" s="845">
        <f>W5+Y5+AA5</f>
        <v>43783.199999999997</v>
      </c>
      <c r="AD5" s="845">
        <f>ROUND(AC5*-0.25%,0)</f>
        <v>-109</v>
      </c>
      <c r="AE5" s="845">
        <f>SUM(AC5:AD5)</f>
        <v>43674.2</v>
      </c>
      <c r="AF5" s="844">
        <v>0</v>
      </c>
      <c r="AG5" s="847">
        <f>SUM(AE5:AF5)</f>
        <v>43674.2</v>
      </c>
      <c r="AH5" s="847">
        <f>2250*8</f>
        <v>18000</v>
      </c>
      <c r="AI5" s="847">
        <f>AG5-AH5</f>
        <v>25674.199999999997</v>
      </c>
      <c r="AJ5" s="847">
        <f>ROUND(AI5/4,0)</f>
        <v>6419</v>
      </c>
      <c r="AK5" s="848">
        <f>AG5+P5</f>
        <v>161195.96799999999</v>
      </c>
      <c r="AL5" s="848">
        <f>U5+AJ5</f>
        <v>23557</v>
      </c>
      <c r="AM5" s="1517"/>
      <c r="AN5" s="1517"/>
      <c r="AO5" s="1517">
        <v>-68</v>
      </c>
      <c r="AP5" s="1517"/>
      <c r="AQ5" s="1521">
        <f>AD5-AO5</f>
        <v>-41</v>
      </c>
    </row>
    <row r="6" spans="1:43" s="795" customFormat="1" ht="17.25" customHeight="1">
      <c r="A6" s="836">
        <v>2</v>
      </c>
      <c r="B6" s="837" t="s">
        <v>180</v>
      </c>
      <c r="C6" s="849">
        <v>3</v>
      </c>
      <c r="D6" s="850">
        <f>'Table 3 Levels 1&amp;2'!AL9*90%</f>
        <v>5444.7660898101512</v>
      </c>
      <c r="E6" s="850">
        <f t="shared" ref="E6:E69" si="2">C6*D6</f>
        <v>16334.298269430454</v>
      </c>
      <c r="F6" s="851">
        <f>'Table 4 Level 3'!P7*90%</f>
        <v>758.08800000000008</v>
      </c>
      <c r="G6" s="851">
        <f t="shared" ref="G6:G69" si="3">F6*C6</f>
        <v>2274.2640000000001</v>
      </c>
      <c r="H6" s="851">
        <f t="shared" ref="H6:H69" si="4">E6+G6</f>
        <v>18608.562269430455</v>
      </c>
      <c r="I6" s="851">
        <f>'Oct midyear adj_LA virtual'!K7</f>
        <v>55825.686808291357</v>
      </c>
      <c r="J6" s="851">
        <f>'Feb midyear adj_LA virtual '!K7</f>
        <v>-12405.708179620302</v>
      </c>
      <c r="K6" s="851">
        <f t="shared" ref="K6:K69" si="5">I6+J6</f>
        <v>43419.978628671059</v>
      </c>
      <c r="L6" s="851">
        <f t="shared" ref="L6:L69" si="6">SUM(H6:J6)</f>
        <v>62028.540898101521</v>
      </c>
      <c r="M6" s="851">
        <f t="shared" ref="M6:M69" si="7">ROUND(-0.25%*L6,0)</f>
        <v>-155</v>
      </c>
      <c r="N6" s="852">
        <f t="shared" ref="N6:N69" si="8">L6+M6</f>
        <v>61873.540898101521</v>
      </c>
      <c r="O6" s="852">
        <v>0</v>
      </c>
      <c r="P6" s="853">
        <f t="shared" ref="P6:P69" si="9">SUM(N6:O6)</f>
        <v>61873.540898101521</v>
      </c>
      <c r="Q6" s="854"/>
      <c r="R6" s="853">
        <f t="shared" ref="R6:R69" si="10">P6+Q6</f>
        <v>61873.540898101521</v>
      </c>
      <c r="S6" s="853">
        <f>1547*8</f>
        <v>12376</v>
      </c>
      <c r="T6" s="853">
        <f t="shared" ref="T6:T69" si="11">R6-S6</f>
        <v>49497.540898101521</v>
      </c>
      <c r="U6" s="853">
        <f t="shared" ref="U6:U69" si="12">ROUND(T6/4,0)</f>
        <v>12374</v>
      </c>
      <c r="V6" s="855">
        <f>'[11]FY2011-12_Final'!$K9*90%</f>
        <v>2308.5</v>
      </c>
      <c r="W6" s="856">
        <f t="shared" si="1"/>
        <v>6925.5</v>
      </c>
      <c r="X6" s="857">
        <f>'Oct midyear adj_LA virtual'!E7</f>
        <v>9</v>
      </c>
      <c r="Y6" s="856">
        <f t="shared" ref="Y6:Y69" si="13">X6*V6</f>
        <v>20776.5</v>
      </c>
      <c r="Z6" s="857">
        <f>'Feb midyear adj_LA virtual '!E7</f>
        <v>-4</v>
      </c>
      <c r="AA6" s="856">
        <f t="shared" ref="AA6:AA69" si="14">(V6*0.5)*Z6</f>
        <v>-4617</v>
      </c>
      <c r="AB6" s="856">
        <f t="shared" ref="AB6:AB69" si="15">Y6+AA6</f>
        <v>16159.5</v>
      </c>
      <c r="AC6" s="856">
        <f t="shared" ref="AC6:AC69" si="16">W6+Y6+AA6</f>
        <v>23085</v>
      </c>
      <c r="AD6" s="856">
        <f t="shared" ref="AD6:AD69" si="17">ROUND(AC6*-0.25%,0)</f>
        <v>-58</v>
      </c>
      <c r="AE6" s="856">
        <f t="shared" ref="AE6:AE69" si="18">SUM(AC6:AD6)</f>
        <v>23027</v>
      </c>
      <c r="AF6" s="855">
        <v>0</v>
      </c>
      <c r="AG6" s="858">
        <f t="shared" ref="AG6:AG69" si="19">SUM(AE6:AF6)</f>
        <v>23027</v>
      </c>
      <c r="AH6" s="858">
        <f>580*8</f>
        <v>4640</v>
      </c>
      <c r="AI6" s="858">
        <f t="shared" ref="AI6:AI69" si="20">AG6-AH6</f>
        <v>18387</v>
      </c>
      <c r="AJ6" s="858">
        <f t="shared" ref="AJ6:AJ69" si="21">ROUND(AI6/4,0)</f>
        <v>4597</v>
      </c>
      <c r="AK6" s="859">
        <f t="shared" ref="AK6:AK25" si="22">AG6+P6</f>
        <v>84900.540898101521</v>
      </c>
      <c r="AL6" s="859">
        <f t="shared" ref="AL6:AL69" si="23">U6+AJ6</f>
        <v>16971</v>
      </c>
      <c r="AM6" s="1517"/>
      <c r="AN6" s="1517"/>
      <c r="AO6" s="1517">
        <v>-17</v>
      </c>
      <c r="AP6" s="1517"/>
      <c r="AQ6" s="1521">
        <f t="shared" ref="AQ6:AQ69" si="24">AD6-AO6</f>
        <v>-41</v>
      </c>
    </row>
    <row r="7" spans="1:43" s="795" customFormat="1" ht="17.25" customHeight="1">
      <c r="A7" s="836">
        <v>3</v>
      </c>
      <c r="B7" s="837" t="s">
        <v>181</v>
      </c>
      <c r="C7" s="849">
        <v>14</v>
      </c>
      <c r="D7" s="850">
        <f>'Table 3 Levels 1&amp;2'!AL10*90%</f>
        <v>3712.0903724597265</v>
      </c>
      <c r="E7" s="850">
        <f t="shared" si="2"/>
        <v>51969.265214436171</v>
      </c>
      <c r="F7" s="851">
        <f>'Table 4 Level 3'!P8*90%</f>
        <v>537.15600000000006</v>
      </c>
      <c r="G7" s="851">
        <f t="shared" si="3"/>
        <v>7520.1840000000011</v>
      </c>
      <c r="H7" s="851">
        <f t="shared" si="4"/>
        <v>59489.449214436172</v>
      </c>
      <c r="I7" s="851">
        <f>'Oct midyear adj_LA virtual'!K8</f>
        <v>55240.202841976447</v>
      </c>
      <c r="J7" s="851">
        <f>'Feb midyear adj_LA virtual '!K8</f>
        <v>6373.8695586895901</v>
      </c>
      <c r="K7" s="851">
        <f t="shared" si="5"/>
        <v>61614.072400666038</v>
      </c>
      <c r="L7" s="851">
        <f t="shared" si="6"/>
        <v>121103.52161510222</v>
      </c>
      <c r="M7" s="851">
        <f t="shared" si="7"/>
        <v>-303</v>
      </c>
      <c r="N7" s="852">
        <f t="shared" si="8"/>
        <v>120800.52161510222</v>
      </c>
      <c r="O7" s="852">
        <v>0</v>
      </c>
      <c r="P7" s="853">
        <f t="shared" si="9"/>
        <v>120800.52161510222</v>
      </c>
      <c r="Q7" s="854"/>
      <c r="R7" s="853">
        <f t="shared" si="10"/>
        <v>120800.52161510222</v>
      </c>
      <c r="S7" s="853">
        <f>4945*8</f>
        <v>39560</v>
      </c>
      <c r="T7" s="853">
        <f t="shared" si="11"/>
        <v>81240.521615102218</v>
      </c>
      <c r="U7" s="853">
        <f t="shared" si="12"/>
        <v>20310</v>
      </c>
      <c r="V7" s="855">
        <f>'[11]FY2011-12_Final'!$K10*90%</f>
        <v>4140.9000000000005</v>
      </c>
      <c r="W7" s="856">
        <f t="shared" si="1"/>
        <v>57972.600000000006</v>
      </c>
      <c r="X7" s="857">
        <f>'Oct midyear adj_LA virtual'!E8</f>
        <v>13</v>
      </c>
      <c r="Y7" s="856">
        <f t="shared" si="13"/>
        <v>53831.700000000004</v>
      </c>
      <c r="Z7" s="857">
        <f>'Feb midyear adj_LA virtual '!E8</f>
        <v>3</v>
      </c>
      <c r="AA7" s="856">
        <f t="shared" si="14"/>
        <v>6211.35</v>
      </c>
      <c r="AB7" s="856">
        <f t="shared" si="15"/>
        <v>60043.05</v>
      </c>
      <c r="AC7" s="856">
        <f t="shared" si="16"/>
        <v>118015.65000000002</v>
      </c>
      <c r="AD7" s="856">
        <f t="shared" si="17"/>
        <v>-295</v>
      </c>
      <c r="AE7" s="856">
        <f t="shared" si="18"/>
        <v>117720.65000000002</v>
      </c>
      <c r="AF7" s="855">
        <v>0</v>
      </c>
      <c r="AG7" s="858">
        <f t="shared" si="19"/>
        <v>117720.65000000002</v>
      </c>
      <c r="AH7" s="858">
        <f>4826*8</f>
        <v>38608</v>
      </c>
      <c r="AI7" s="858">
        <f t="shared" si="20"/>
        <v>79112.650000000023</v>
      </c>
      <c r="AJ7" s="858">
        <f t="shared" si="21"/>
        <v>19778</v>
      </c>
      <c r="AK7" s="859">
        <f t="shared" si="22"/>
        <v>238521.17161510224</v>
      </c>
      <c r="AL7" s="859">
        <f t="shared" si="23"/>
        <v>40088</v>
      </c>
      <c r="AM7" s="1517"/>
      <c r="AN7" s="1517"/>
      <c r="AO7" s="1517">
        <v>-145</v>
      </c>
      <c r="AP7" s="1517"/>
      <c r="AQ7" s="1521">
        <f t="shared" si="24"/>
        <v>-150</v>
      </c>
    </row>
    <row r="8" spans="1:43" s="795" customFormat="1" ht="17.25" customHeight="1">
      <c r="A8" s="836">
        <v>4</v>
      </c>
      <c r="B8" s="837" t="s">
        <v>182</v>
      </c>
      <c r="C8" s="849">
        <v>7</v>
      </c>
      <c r="D8" s="850">
        <f>'Table 3 Levels 1&amp;2'!AL11*90%</f>
        <v>5437.7563294083247</v>
      </c>
      <c r="E8" s="850">
        <f t="shared" si="2"/>
        <v>38064.294305858275</v>
      </c>
      <c r="F8" s="851">
        <f>'Table 4 Level 3'!P9*90%</f>
        <v>527.18399999999997</v>
      </c>
      <c r="G8" s="851">
        <f t="shared" si="3"/>
        <v>3690.2879999999996</v>
      </c>
      <c r="H8" s="851">
        <f t="shared" si="4"/>
        <v>41754.582305858276</v>
      </c>
      <c r="I8" s="851">
        <f>'Oct midyear adj_LA virtual'!K9</f>
        <v>-29824.701647041624</v>
      </c>
      <c r="J8" s="851">
        <f>'Feb midyear adj_LA virtual '!K9</f>
        <v>26842.231482337462</v>
      </c>
      <c r="K8" s="851">
        <f t="shared" si="5"/>
        <v>-2982.470164704162</v>
      </c>
      <c r="L8" s="851">
        <f t="shared" si="6"/>
        <v>38772.11214115411</v>
      </c>
      <c r="M8" s="851">
        <f t="shared" si="7"/>
        <v>-97</v>
      </c>
      <c r="N8" s="852">
        <f t="shared" si="8"/>
        <v>38675.11214115411</v>
      </c>
      <c r="O8" s="852">
        <v>0</v>
      </c>
      <c r="P8" s="853">
        <f t="shared" si="9"/>
        <v>38675.11214115411</v>
      </c>
      <c r="Q8" s="854"/>
      <c r="R8" s="853">
        <f t="shared" si="10"/>
        <v>38675.11214115411</v>
      </c>
      <c r="S8" s="853">
        <f>3471*8</f>
        <v>27768</v>
      </c>
      <c r="T8" s="853">
        <f t="shared" si="11"/>
        <v>10907.11214115411</v>
      </c>
      <c r="U8" s="853">
        <f t="shared" si="12"/>
        <v>2727</v>
      </c>
      <c r="V8" s="855">
        <f>'[11]FY2011-12_Final'!$K11*90%</f>
        <v>2875.5</v>
      </c>
      <c r="W8" s="856">
        <f t="shared" si="1"/>
        <v>20128.5</v>
      </c>
      <c r="X8" s="857">
        <f>'Oct midyear adj_LA virtual'!E9</f>
        <v>-5</v>
      </c>
      <c r="Y8" s="856">
        <f t="shared" si="13"/>
        <v>-14377.5</v>
      </c>
      <c r="Z8" s="857">
        <f>'Feb midyear adj_LA virtual '!E9</f>
        <v>9</v>
      </c>
      <c r="AA8" s="856">
        <f t="shared" si="14"/>
        <v>12939.75</v>
      </c>
      <c r="AB8" s="856">
        <f t="shared" si="15"/>
        <v>-1437.75</v>
      </c>
      <c r="AC8" s="856">
        <f t="shared" si="16"/>
        <v>18690.75</v>
      </c>
      <c r="AD8" s="856">
        <f t="shared" si="17"/>
        <v>-47</v>
      </c>
      <c r="AE8" s="856">
        <f t="shared" si="18"/>
        <v>18643.75</v>
      </c>
      <c r="AF8" s="855">
        <v>0</v>
      </c>
      <c r="AG8" s="858">
        <f t="shared" si="19"/>
        <v>18643.75</v>
      </c>
      <c r="AH8" s="858">
        <f>1571*8</f>
        <v>12568</v>
      </c>
      <c r="AI8" s="858">
        <f t="shared" si="20"/>
        <v>6075.75</v>
      </c>
      <c r="AJ8" s="858">
        <f t="shared" si="21"/>
        <v>1519</v>
      </c>
      <c r="AK8" s="859">
        <f t="shared" si="22"/>
        <v>57318.86214115411</v>
      </c>
      <c r="AL8" s="859">
        <f t="shared" si="23"/>
        <v>4246</v>
      </c>
      <c r="AM8" s="1517"/>
      <c r="AN8" s="1517"/>
      <c r="AO8" s="1517">
        <v>-47</v>
      </c>
      <c r="AP8" s="1517"/>
      <c r="AQ8" s="1521">
        <f t="shared" si="24"/>
        <v>0</v>
      </c>
    </row>
    <row r="9" spans="1:43" s="795" customFormat="1" ht="17.25" customHeight="1">
      <c r="A9" s="860">
        <v>5</v>
      </c>
      <c r="B9" s="861" t="s">
        <v>183</v>
      </c>
      <c r="C9" s="862">
        <v>17</v>
      </c>
      <c r="D9" s="863">
        <f>'Table 3 Levels 1&amp;2'!AL12*90%</f>
        <v>4392.6597520963815</v>
      </c>
      <c r="E9" s="863">
        <f t="shared" si="2"/>
        <v>74675.215785638487</v>
      </c>
      <c r="F9" s="864">
        <f>'Table 4 Level 3'!P10*90%</f>
        <v>500.31899999999996</v>
      </c>
      <c r="G9" s="864">
        <f t="shared" si="3"/>
        <v>8505.4229999999989</v>
      </c>
      <c r="H9" s="864">
        <f t="shared" si="4"/>
        <v>83180.638785638483</v>
      </c>
      <c r="I9" s="864">
        <f>'Oct midyear adj_LA virtual'!K10</f>
        <v>0</v>
      </c>
      <c r="J9" s="864">
        <f>'Feb midyear adj_LA virtual '!K10</f>
        <v>2446.4893760481909</v>
      </c>
      <c r="K9" s="864">
        <f t="shared" si="5"/>
        <v>2446.4893760481909</v>
      </c>
      <c r="L9" s="864">
        <f t="shared" si="6"/>
        <v>85627.128161686676</v>
      </c>
      <c r="M9" s="864">
        <f t="shared" si="7"/>
        <v>-214</v>
      </c>
      <c r="N9" s="865">
        <f t="shared" si="8"/>
        <v>85413.128161686676</v>
      </c>
      <c r="O9" s="865">
        <v>0</v>
      </c>
      <c r="P9" s="866">
        <f t="shared" si="9"/>
        <v>85413.128161686676</v>
      </c>
      <c r="Q9" s="867"/>
      <c r="R9" s="866">
        <f t="shared" si="10"/>
        <v>85413.128161686676</v>
      </c>
      <c r="S9" s="866">
        <f>6914*8</f>
        <v>55312</v>
      </c>
      <c r="T9" s="866">
        <f t="shared" si="11"/>
        <v>30101.128161686676</v>
      </c>
      <c r="U9" s="866">
        <f t="shared" si="12"/>
        <v>7525</v>
      </c>
      <c r="V9" s="868">
        <f>'[11]FY2011-12_Final'!$K12*90%</f>
        <v>1160.1000000000001</v>
      </c>
      <c r="W9" s="869">
        <f t="shared" si="1"/>
        <v>19721.7</v>
      </c>
      <c r="X9" s="870">
        <f>'Oct midyear adj_LA virtual'!E10</f>
        <v>0</v>
      </c>
      <c r="Y9" s="869">
        <f t="shared" si="13"/>
        <v>0</v>
      </c>
      <c r="Z9" s="870">
        <f>'Feb midyear adj_LA virtual '!E10</f>
        <v>1</v>
      </c>
      <c r="AA9" s="869">
        <f t="shared" si="14"/>
        <v>580.05000000000007</v>
      </c>
      <c r="AB9" s="869">
        <f t="shared" si="15"/>
        <v>580.05000000000007</v>
      </c>
      <c r="AC9" s="869">
        <f t="shared" si="16"/>
        <v>20301.75</v>
      </c>
      <c r="AD9" s="869">
        <f t="shared" si="17"/>
        <v>-51</v>
      </c>
      <c r="AE9" s="869">
        <f t="shared" si="18"/>
        <v>20250.75</v>
      </c>
      <c r="AF9" s="868">
        <v>0</v>
      </c>
      <c r="AG9" s="871">
        <f t="shared" si="19"/>
        <v>20250.75</v>
      </c>
      <c r="AH9" s="871">
        <f>1457*8</f>
        <v>11656</v>
      </c>
      <c r="AI9" s="871">
        <f t="shared" si="20"/>
        <v>8594.75</v>
      </c>
      <c r="AJ9" s="871">
        <f t="shared" si="21"/>
        <v>2149</v>
      </c>
      <c r="AK9" s="872">
        <f t="shared" si="22"/>
        <v>105663.87816168668</v>
      </c>
      <c r="AL9" s="872">
        <f t="shared" si="23"/>
        <v>9674</v>
      </c>
      <c r="AM9" s="1517"/>
      <c r="AN9" s="1517"/>
      <c r="AO9" s="1517">
        <v>-44</v>
      </c>
      <c r="AP9" s="1517"/>
      <c r="AQ9" s="1521">
        <f t="shared" si="24"/>
        <v>-7</v>
      </c>
    </row>
    <row r="10" spans="1:43" s="795" customFormat="1" ht="17.25" customHeight="1">
      <c r="A10" s="836">
        <v>6</v>
      </c>
      <c r="B10" s="837" t="s">
        <v>184</v>
      </c>
      <c r="C10" s="838">
        <v>11</v>
      </c>
      <c r="D10" s="839">
        <f>'Table 3 Levels 1&amp;2'!AL13*90%</f>
        <v>5072.3139727898033</v>
      </c>
      <c r="E10" s="839">
        <f t="shared" si="2"/>
        <v>55795.453700687838</v>
      </c>
      <c r="F10" s="840">
        <f>'Table 4 Level 3'!P11*90%</f>
        <v>490.9319999999999</v>
      </c>
      <c r="G10" s="840">
        <f t="shared" si="3"/>
        <v>5400.2519999999986</v>
      </c>
      <c r="H10" s="840">
        <f t="shared" si="4"/>
        <v>61195.705700687839</v>
      </c>
      <c r="I10" s="840">
        <f>'Oct midyear adj_LA virtual'!K11</f>
        <v>38942.721809528623</v>
      </c>
      <c r="J10" s="840">
        <f>'Feb midyear adj_LA virtual '!K11</f>
        <v>-8344.8689591847051</v>
      </c>
      <c r="K10" s="840">
        <f t="shared" si="5"/>
        <v>30597.852850343916</v>
      </c>
      <c r="L10" s="840">
        <f t="shared" si="6"/>
        <v>91793.558551031747</v>
      </c>
      <c r="M10" s="840">
        <f t="shared" si="7"/>
        <v>-229</v>
      </c>
      <c r="N10" s="841">
        <f t="shared" si="8"/>
        <v>91564.558551031747</v>
      </c>
      <c r="O10" s="841">
        <v>0</v>
      </c>
      <c r="P10" s="842">
        <f t="shared" si="9"/>
        <v>91564.558551031747</v>
      </c>
      <c r="Q10" s="843"/>
      <c r="R10" s="842">
        <f t="shared" si="10"/>
        <v>91564.558551031747</v>
      </c>
      <c r="S10" s="842">
        <f>5087*8</f>
        <v>40696</v>
      </c>
      <c r="T10" s="842">
        <f t="shared" si="11"/>
        <v>50868.558551031747</v>
      </c>
      <c r="U10" s="842">
        <f t="shared" si="12"/>
        <v>12717</v>
      </c>
      <c r="V10" s="844">
        <f>'[11]FY2011-12_Final'!$K13*90%</f>
        <v>2756.7000000000003</v>
      </c>
      <c r="W10" s="845">
        <f t="shared" si="1"/>
        <v>30323.700000000004</v>
      </c>
      <c r="X10" s="846">
        <f>'Oct midyear adj_LA virtual'!E11</f>
        <v>7</v>
      </c>
      <c r="Y10" s="845">
        <f t="shared" si="13"/>
        <v>19296.900000000001</v>
      </c>
      <c r="Z10" s="846">
        <f>'Feb midyear adj_LA virtual '!E11</f>
        <v>-3</v>
      </c>
      <c r="AA10" s="845">
        <f t="shared" si="14"/>
        <v>-4135.05</v>
      </c>
      <c r="AB10" s="845">
        <f t="shared" si="15"/>
        <v>15161.850000000002</v>
      </c>
      <c r="AC10" s="845">
        <f t="shared" si="16"/>
        <v>45485.55</v>
      </c>
      <c r="AD10" s="845">
        <f t="shared" si="17"/>
        <v>-114</v>
      </c>
      <c r="AE10" s="845">
        <f t="shared" si="18"/>
        <v>45371.55</v>
      </c>
      <c r="AF10" s="844">
        <v>0</v>
      </c>
      <c r="AG10" s="847">
        <f t="shared" si="19"/>
        <v>45371.55</v>
      </c>
      <c r="AH10" s="847">
        <f>2536*8</f>
        <v>20288</v>
      </c>
      <c r="AI10" s="847">
        <f t="shared" si="20"/>
        <v>25083.550000000003</v>
      </c>
      <c r="AJ10" s="847">
        <f t="shared" si="21"/>
        <v>6271</v>
      </c>
      <c r="AK10" s="848">
        <f t="shared" si="22"/>
        <v>136936.10855103174</v>
      </c>
      <c r="AL10" s="848">
        <f t="shared" si="23"/>
        <v>18988</v>
      </c>
      <c r="AM10" s="1517"/>
      <c r="AN10" s="1517"/>
      <c r="AO10" s="1517">
        <v>-76</v>
      </c>
      <c r="AP10" s="1517"/>
      <c r="AQ10" s="1521">
        <f t="shared" si="24"/>
        <v>-38</v>
      </c>
    </row>
    <row r="11" spans="1:43" s="795" customFormat="1" ht="17.25" customHeight="1">
      <c r="A11" s="836">
        <v>7</v>
      </c>
      <c r="B11" s="837" t="s">
        <v>185</v>
      </c>
      <c r="C11" s="849">
        <v>7</v>
      </c>
      <c r="D11" s="850">
        <f>'Table 3 Levels 1&amp;2'!AL14*90%</f>
        <v>1385.9737278509767</v>
      </c>
      <c r="E11" s="850">
        <f t="shared" si="2"/>
        <v>9701.8160949568373</v>
      </c>
      <c r="F11" s="851">
        <f>'Table 4 Level 3'!P12*90%</f>
        <v>681.22799999999984</v>
      </c>
      <c r="G11" s="851">
        <f t="shared" si="3"/>
        <v>4768.5959999999986</v>
      </c>
      <c r="H11" s="851">
        <f t="shared" si="4"/>
        <v>14470.412094956835</v>
      </c>
      <c r="I11" s="851">
        <f>'Oct midyear adj_LA virtual'!K12</f>
        <v>-4134.4034557019531</v>
      </c>
      <c r="J11" s="851">
        <f>'Feb midyear adj_LA virtual '!K12</f>
        <v>4134.4034557019531</v>
      </c>
      <c r="K11" s="851">
        <f t="shared" si="5"/>
        <v>0</v>
      </c>
      <c r="L11" s="851">
        <f t="shared" si="6"/>
        <v>14470.412094956835</v>
      </c>
      <c r="M11" s="851">
        <f t="shared" si="7"/>
        <v>-36</v>
      </c>
      <c r="N11" s="852">
        <f t="shared" si="8"/>
        <v>14434.412094956835</v>
      </c>
      <c r="O11" s="852">
        <v>0</v>
      </c>
      <c r="P11" s="853">
        <f t="shared" si="9"/>
        <v>14434.412094956835</v>
      </c>
      <c r="Q11" s="854"/>
      <c r="R11" s="853">
        <f t="shared" si="10"/>
        <v>14434.412094956835</v>
      </c>
      <c r="S11" s="853">
        <f>1203*8</f>
        <v>9624</v>
      </c>
      <c r="T11" s="853">
        <f t="shared" si="11"/>
        <v>4810.4120949568351</v>
      </c>
      <c r="U11" s="853">
        <f t="shared" si="12"/>
        <v>1203</v>
      </c>
      <c r="V11" s="855">
        <f>'[11]FY2011-12_Final'!$K14*90%</f>
        <v>11348.1</v>
      </c>
      <c r="W11" s="856">
        <f t="shared" si="1"/>
        <v>79436.7</v>
      </c>
      <c r="X11" s="857">
        <f>'Oct midyear adj_LA virtual'!E12</f>
        <v>-2</v>
      </c>
      <c r="Y11" s="856">
        <f t="shared" si="13"/>
        <v>-22696.2</v>
      </c>
      <c r="Z11" s="857">
        <f>'Feb midyear adj_LA virtual '!E12</f>
        <v>4</v>
      </c>
      <c r="AA11" s="856">
        <f t="shared" si="14"/>
        <v>22696.2</v>
      </c>
      <c r="AB11" s="856">
        <f t="shared" si="15"/>
        <v>0</v>
      </c>
      <c r="AC11" s="856">
        <f t="shared" si="16"/>
        <v>79436.7</v>
      </c>
      <c r="AD11" s="856">
        <f t="shared" si="17"/>
        <v>-199</v>
      </c>
      <c r="AE11" s="856">
        <f t="shared" si="18"/>
        <v>79237.7</v>
      </c>
      <c r="AF11" s="855">
        <v>0</v>
      </c>
      <c r="AG11" s="858">
        <f t="shared" si="19"/>
        <v>79237.7</v>
      </c>
      <c r="AH11" s="858">
        <f>6612*8</f>
        <v>52896</v>
      </c>
      <c r="AI11" s="858">
        <f t="shared" si="20"/>
        <v>26341.699999999997</v>
      </c>
      <c r="AJ11" s="858">
        <f t="shared" si="21"/>
        <v>6585</v>
      </c>
      <c r="AK11" s="859">
        <f t="shared" si="22"/>
        <v>93672.112094956829</v>
      </c>
      <c r="AL11" s="859">
        <f t="shared" si="23"/>
        <v>7788</v>
      </c>
      <c r="AM11" s="1517"/>
      <c r="AN11" s="1517"/>
      <c r="AO11" s="1517">
        <v>-199</v>
      </c>
      <c r="AP11" s="1517"/>
      <c r="AQ11" s="1521">
        <f t="shared" si="24"/>
        <v>0</v>
      </c>
    </row>
    <row r="12" spans="1:43" s="795" customFormat="1" ht="17.25" customHeight="1">
      <c r="A12" s="836">
        <v>8</v>
      </c>
      <c r="B12" s="837" t="s">
        <v>186</v>
      </c>
      <c r="C12" s="849">
        <v>51</v>
      </c>
      <c r="D12" s="850">
        <f>'Table 3 Levels 1&amp;2'!AL15*90%</f>
        <v>3601.2056558252466</v>
      </c>
      <c r="E12" s="850">
        <f t="shared" si="2"/>
        <v>183661.48844708758</v>
      </c>
      <c r="F12" s="851">
        <f>'Table 4 Level 3'!P13*90%</f>
        <v>653.18399999999997</v>
      </c>
      <c r="G12" s="851">
        <f t="shared" si="3"/>
        <v>33312.383999999998</v>
      </c>
      <c r="H12" s="851">
        <f t="shared" si="4"/>
        <v>216973.87244708757</v>
      </c>
      <c r="I12" s="851">
        <f>'Oct midyear adj_LA virtual'!K13</f>
        <v>17017.558623300985</v>
      </c>
      <c r="J12" s="851">
        <f>'Feb midyear adj_LA virtual '!K13</f>
        <v>-19144.753451213608</v>
      </c>
      <c r="K12" s="851">
        <f t="shared" si="5"/>
        <v>-2127.1948279126227</v>
      </c>
      <c r="L12" s="851">
        <f t="shared" si="6"/>
        <v>214846.67761917494</v>
      </c>
      <c r="M12" s="851">
        <f t="shared" si="7"/>
        <v>-537</v>
      </c>
      <c r="N12" s="852">
        <f t="shared" si="8"/>
        <v>214309.67761917494</v>
      </c>
      <c r="O12" s="852">
        <v>0</v>
      </c>
      <c r="P12" s="853">
        <f t="shared" si="9"/>
        <v>214309.67761917494</v>
      </c>
      <c r="Q12" s="854"/>
      <c r="R12" s="853">
        <f t="shared" si="10"/>
        <v>214309.67761917494</v>
      </c>
      <c r="S12" s="853">
        <f>18036*8</f>
        <v>144288</v>
      </c>
      <c r="T12" s="853">
        <f t="shared" si="11"/>
        <v>70021.677619174938</v>
      </c>
      <c r="U12" s="853">
        <f t="shared" si="12"/>
        <v>17505</v>
      </c>
      <c r="V12" s="855">
        <f>'[11]FY2011-12_Final'!$K15*90%</f>
        <v>3858.3</v>
      </c>
      <c r="W12" s="856">
        <f t="shared" si="1"/>
        <v>196773.30000000002</v>
      </c>
      <c r="X12" s="857">
        <f>'Oct midyear adj_LA virtual'!E13</f>
        <v>4</v>
      </c>
      <c r="Y12" s="856">
        <f t="shared" si="13"/>
        <v>15433.2</v>
      </c>
      <c r="Z12" s="857">
        <f>'Feb midyear adj_LA virtual '!E13</f>
        <v>-9</v>
      </c>
      <c r="AA12" s="856">
        <f t="shared" si="14"/>
        <v>-17362.350000000002</v>
      </c>
      <c r="AB12" s="856">
        <f t="shared" si="15"/>
        <v>-1929.1500000000015</v>
      </c>
      <c r="AC12" s="856">
        <f t="shared" si="16"/>
        <v>194844.15000000002</v>
      </c>
      <c r="AD12" s="856">
        <f t="shared" si="17"/>
        <v>-487</v>
      </c>
      <c r="AE12" s="856">
        <f t="shared" si="18"/>
        <v>194357.15000000002</v>
      </c>
      <c r="AF12" s="855">
        <v>0</v>
      </c>
      <c r="AG12" s="858">
        <f t="shared" si="19"/>
        <v>194357.15000000002</v>
      </c>
      <c r="AH12" s="858">
        <f>16265*8</f>
        <v>130120</v>
      </c>
      <c r="AI12" s="858">
        <f t="shared" si="20"/>
        <v>64237.150000000023</v>
      </c>
      <c r="AJ12" s="858">
        <f t="shared" si="21"/>
        <v>16059</v>
      </c>
      <c r="AK12" s="859">
        <f t="shared" si="22"/>
        <v>408666.82761917496</v>
      </c>
      <c r="AL12" s="859">
        <f t="shared" si="23"/>
        <v>33564</v>
      </c>
      <c r="AM12" s="1517"/>
      <c r="AN12" s="1517"/>
      <c r="AO12" s="1517">
        <v>-489</v>
      </c>
      <c r="AP12" s="1517"/>
      <c r="AQ12" s="1521">
        <f t="shared" si="24"/>
        <v>2</v>
      </c>
    </row>
    <row r="13" spans="1:43" s="795" customFormat="1" ht="17.25" customHeight="1">
      <c r="A13" s="836">
        <v>9</v>
      </c>
      <c r="B13" s="837" t="s">
        <v>77</v>
      </c>
      <c r="C13" s="849">
        <v>90</v>
      </c>
      <c r="D13" s="850">
        <f>'Table 3 Levels 1&amp;2'!AL16*90%</f>
        <v>3946.4201542979081</v>
      </c>
      <c r="E13" s="850">
        <f t="shared" si="2"/>
        <v>355177.81388681172</v>
      </c>
      <c r="F13" s="851">
        <f>'Table 4 Level 3'!P14*90%</f>
        <v>670.28399999999999</v>
      </c>
      <c r="G13" s="851">
        <f t="shared" si="3"/>
        <v>60325.56</v>
      </c>
      <c r="H13" s="851">
        <f t="shared" si="4"/>
        <v>415503.37388681172</v>
      </c>
      <c r="I13" s="851">
        <f>'Oct midyear adj_LA virtual'!K14</f>
        <v>36933.633234383262</v>
      </c>
      <c r="J13" s="851">
        <f>'Feb midyear adj_LA virtual '!K14</f>
        <v>-16158.464540042678</v>
      </c>
      <c r="K13" s="851">
        <f t="shared" si="5"/>
        <v>20775.168694340584</v>
      </c>
      <c r="L13" s="851">
        <f t="shared" si="6"/>
        <v>436278.54258115229</v>
      </c>
      <c r="M13" s="851">
        <f t="shared" si="7"/>
        <v>-1091</v>
      </c>
      <c r="N13" s="852">
        <f t="shared" si="8"/>
        <v>435187.54258115229</v>
      </c>
      <c r="O13" s="852">
        <v>0</v>
      </c>
      <c r="P13" s="853">
        <f t="shared" si="9"/>
        <v>435187.54258115229</v>
      </c>
      <c r="Q13" s="854"/>
      <c r="R13" s="853">
        <f t="shared" si="10"/>
        <v>435187.54258115229</v>
      </c>
      <c r="S13" s="853">
        <f>34539*8</f>
        <v>276312</v>
      </c>
      <c r="T13" s="853">
        <f t="shared" si="11"/>
        <v>158875.54258115229</v>
      </c>
      <c r="U13" s="853">
        <f t="shared" si="12"/>
        <v>39719</v>
      </c>
      <c r="V13" s="855">
        <f>'[11]FY2011-12_Final'!$K16*90%</f>
        <v>4122</v>
      </c>
      <c r="W13" s="856">
        <f t="shared" si="1"/>
        <v>370980</v>
      </c>
      <c r="X13" s="857">
        <f>'Oct midyear adj_LA virtual'!E14</f>
        <v>8</v>
      </c>
      <c r="Y13" s="856">
        <f t="shared" si="13"/>
        <v>32976</v>
      </c>
      <c r="Z13" s="857">
        <f>'Feb midyear adj_LA virtual '!E14</f>
        <v>-7</v>
      </c>
      <c r="AA13" s="856">
        <f t="shared" si="14"/>
        <v>-14427</v>
      </c>
      <c r="AB13" s="856">
        <f t="shared" si="15"/>
        <v>18549</v>
      </c>
      <c r="AC13" s="856">
        <f t="shared" si="16"/>
        <v>389529</v>
      </c>
      <c r="AD13" s="856">
        <f t="shared" si="17"/>
        <v>-974</v>
      </c>
      <c r="AE13" s="856">
        <f t="shared" si="18"/>
        <v>388555</v>
      </c>
      <c r="AF13" s="855">
        <v>0</v>
      </c>
      <c r="AG13" s="858">
        <f t="shared" si="19"/>
        <v>388555</v>
      </c>
      <c r="AH13" s="858">
        <f>29983*8</f>
        <v>239864</v>
      </c>
      <c r="AI13" s="858">
        <f t="shared" si="20"/>
        <v>148691</v>
      </c>
      <c r="AJ13" s="858">
        <f t="shared" si="21"/>
        <v>37173</v>
      </c>
      <c r="AK13" s="859">
        <f t="shared" si="22"/>
        <v>823742.54258115229</v>
      </c>
      <c r="AL13" s="859">
        <f t="shared" si="23"/>
        <v>76892</v>
      </c>
      <c r="AM13" s="1517"/>
      <c r="AN13" s="1517"/>
      <c r="AO13" s="1517">
        <v>-902</v>
      </c>
      <c r="AP13" s="1517"/>
      <c r="AQ13" s="1521">
        <f t="shared" si="24"/>
        <v>-72</v>
      </c>
    </row>
    <row r="14" spans="1:43" s="795" customFormat="1" ht="17.25" customHeight="1">
      <c r="A14" s="860">
        <v>10</v>
      </c>
      <c r="B14" s="861" t="s">
        <v>187</v>
      </c>
      <c r="C14" s="862">
        <v>62</v>
      </c>
      <c r="D14" s="863">
        <f>'Table 3 Levels 1&amp;2'!AL17*90%</f>
        <v>3880.929874751208</v>
      </c>
      <c r="E14" s="863">
        <f t="shared" si="2"/>
        <v>240617.6522345749</v>
      </c>
      <c r="F14" s="864">
        <f>'Table 4 Level 3'!P15*90%</f>
        <v>547.2360000000001</v>
      </c>
      <c r="G14" s="864">
        <f t="shared" si="3"/>
        <v>33928.632000000005</v>
      </c>
      <c r="H14" s="864">
        <f t="shared" si="4"/>
        <v>274546.28423457488</v>
      </c>
      <c r="I14" s="864">
        <f>'Oct midyear adj_LA virtual'!K15</f>
        <v>4428.1658747512083</v>
      </c>
      <c r="J14" s="864">
        <f>'Feb midyear adj_LA virtual '!K15</f>
        <v>6642.2488121268125</v>
      </c>
      <c r="K14" s="864">
        <f t="shared" si="5"/>
        <v>11070.414686878021</v>
      </c>
      <c r="L14" s="864">
        <f t="shared" si="6"/>
        <v>285616.69892145292</v>
      </c>
      <c r="M14" s="864">
        <f t="shared" si="7"/>
        <v>-714</v>
      </c>
      <c r="N14" s="865">
        <f t="shared" si="8"/>
        <v>284902.69892145292</v>
      </c>
      <c r="O14" s="865">
        <v>0</v>
      </c>
      <c r="P14" s="866">
        <f t="shared" si="9"/>
        <v>284902.69892145292</v>
      </c>
      <c r="Q14" s="867"/>
      <c r="R14" s="866">
        <f t="shared" si="10"/>
        <v>284902.69892145292</v>
      </c>
      <c r="S14" s="866">
        <f>22822*8</f>
        <v>182576</v>
      </c>
      <c r="T14" s="866">
        <f t="shared" si="11"/>
        <v>102326.69892145292</v>
      </c>
      <c r="U14" s="866">
        <f t="shared" si="12"/>
        <v>25582</v>
      </c>
      <c r="V14" s="868">
        <f>'[11]FY2011-12_Final'!$K17*90%</f>
        <v>3746.7000000000003</v>
      </c>
      <c r="W14" s="869">
        <f t="shared" si="1"/>
        <v>232295.40000000002</v>
      </c>
      <c r="X14" s="870">
        <f>'Oct midyear adj_LA virtual'!E15</f>
        <v>1</v>
      </c>
      <c r="Y14" s="869">
        <f t="shared" si="13"/>
        <v>3746.7000000000003</v>
      </c>
      <c r="Z14" s="870">
        <f>'Feb midyear adj_LA virtual '!E15</f>
        <v>3</v>
      </c>
      <c r="AA14" s="869">
        <f t="shared" si="14"/>
        <v>5620.05</v>
      </c>
      <c r="AB14" s="869">
        <f t="shared" si="15"/>
        <v>9366.75</v>
      </c>
      <c r="AC14" s="869">
        <f t="shared" si="16"/>
        <v>241662.15000000002</v>
      </c>
      <c r="AD14" s="869">
        <f t="shared" si="17"/>
        <v>-604</v>
      </c>
      <c r="AE14" s="869">
        <f t="shared" si="18"/>
        <v>241058.15000000002</v>
      </c>
      <c r="AF14" s="868">
        <v>0</v>
      </c>
      <c r="AG14" s="871">
        <f t="shared" si="19"/>
        <v>241058.15000000002</v>
      </c>
      <c r="AH14" s="871">
        <f>18943*8</f>
        <v>151544</v>
      </c>
      <c r="AI14" s="871">
        <f t="shared" si="20"/>
        <v>89514.150000000023</v>
      </c>
      <c r="AJ14" s="871">
        <f t="shared" si="21"/>
        <v>22379</v>
      </c>
      <c r="AK14" s="872">
        <f t="shared" si="22"/>
        <v>525960.84892145288</v>
      </c>
      <c r="AL14" s="872">
        <f t="shared" si="23"/>
        <v>47961</v>
      </c>
      <c r="AM14" s="1517"/>
      <c r="AN14" s="1517"/>
      <c r="AO14" s="1517">
        <v>-570</v>
      </c>
      <c r="AP14" s="1517"/>
      <c r="AQ14" s="1521">
        <f t="shared" si="24"/>
        <v>-34</v>
      </c>
    </row>
    <row r="15" spans="1:43" s="795" customFormat="1" ht="17.25" customHeight="1">
      <c r="A15" s="836">
        <v>11</v>
      </c>
      <c r="B15" s="837" t="s">
        <v>188</v>
      </c>
      <c r="C15" s="838">
        <v>1</v>
      </c>
      <c r="D15" s="839">
        <f>'Table 3 Levels 1&amp;2'!AL18*90%</f>
        <v>6000.6277483637386</v>
      </c>
      <c r="E15" s="839">
        <f t="shared" si="2"/>
        <v>6000.6277483637386</v>
      </c>
      <c r="F15" s="840">
        <f>'Table 4 Level 3'!P16*90%</f>
        <v>635.89499999999998</v>
      </c>
      <c r="G15" s="840">
        <f t="shared" si="3"/>
        <v>635.89499999999998</v>
      </c>
      <c r="H15" s="840">
        <f t="shared" si="4"/>
        <v>6636.5227483637391</v>
      </c>
      <c r="I15" s="840">
        <f>'Oct midyear adj_LA virtual'!K16</f>
        <v>13273.045496727478</v>
      </c>
      <c r="J15" s="840">
        <f>'Feb midyear adj_LA virtual '!K16</f>
        <v>-3318.2613741818695</v>
      </c>
      <c r="K15" s="840">
        <f t="shared" si="5"/>
        <v>9954.7841225456086</v>
      </c>
      <c r="L15" s="840">
        <f t="shared" si="6"/>
        <v>16591.30687090935</v>
      </c>
      <c r="M15" s="840">
        <f t="shared" si="7"/>
        <v>-41</v>
      </c>
      <c r="N15" s="841">
        <f t="shared" si="8"/>
        <v>16550.30687090935</v>
      </c>
      <c r="O15" s="841">
        <v>0</v>
      </c>
      <c r="P15" s="842">
        <f t="shared" si="9"/>
        <v>16550.30687090935</v>
      </c>
      <c r="Q15" s="843"/>
      <c r="R15" s="842">
        <f t="shared" si="10"/>
        <v>16550.30687090935</v>
      </c>
      <c r="S15" s="842">
        <f>552*8</f>
        <v>4416</v>
      </c>
      <c r="T15" s="842">
        <f t="shared" si="11"/>
        <v>12134.30687090935</v>
      </c>
      <c r="U15" s="842">
        <f t="shared" si="12"/>
        <v>3034</v>
      </c>
      <c r="V15" s="844">
        <f>'[11]FY2011-12_Final'!$K18*90%</f>
        <v>2968.2000000000003</v>
      </c>
      <c r="W15" s="845">
        <f t="shared" si="1"/>
        <v>2968.2000000000003</v>
      </c>
      <c r="X15" s="846">
        <f>'Oct midyear adj_LA virtual'!E16</f>
        <v>2</v>
      </c>
      <c r="Y15" s="845">
        <f t="shared" si="13"/>
        <v>5936.4000000000005</v>
      </c>
      <c r="Z15" s="846">
        <f>'Feb midyear adj_LA virtual '!E16</f>
        <v>-1</v>
      </c>
      <c r="AA15" s="845">
        <f t="shared" si="14"/>
        <v>-1484.1000000000001</v>
      </c>
      <c r="AB15" s="845">
        <f t="shared" si="15"/>
        <v>4452.3</v>
      </c>
      <c r="AC15" s="845">
        <f t="shared" si="16"/>
        <v>7420.5</v>
      </c>
      <c r="AD15" s="845">
        <f t="shared" si="17"/>
        <v>-19</v>
      </c>
      <c r="AE15" s="845">
        <f t="shared" si="18"/>
        <v>7401.5</v>
      </c>
      <c r="AF15" s="844">
        <v>0</v>
      </c>
      <c r="AG15" s="847">
        <f t="shared" si="19"/>
        <v>7401.5</v>
      </c>
      <c r="AH15" s="847">
        <f>215*8</f>
        <v>1720</v>
      </c>
      <c r="AI15" s="847">
        <f t="shared" si="20"/>
        <v>5681.5</v>
      </c>
      <c r="AJ15" s="847">
        <f t="shared" si="21"/>
        <v>1420</v>
      </c>
      <c r="AK15" s="848">
        <f t="shared" si="22"/>
        <v>23951.80687090935</v>
      </c>
      <c r="AL15" s="848">
        <f t="shared" si="23"/>
        <v>4454</v>
      </c>
      <c r="AM15" s="1517"/>
      <c r="AN15" s="1517"/>
      <c r="AO15" s="1517">
        <v>-6</v>
      </c>
      <c r="AP15" s="1517"/>
      <c r="AQ15" s="1521">
        <f t="shared" si="24"/>
        <v>-13</v>
      </c>
    </row>
    <row r="16" spans="1:43" s="795" customFormat="1" ht="17.25" customHeight="1">
      <c r="A16" s="836">
        <v>12</v>
      </c>
      <c r="B16" s="837" t="s">
        <v>189</v>
      </c>
      <c r="C16" s="849">
        <v>1</v>
      </c>
      <c r="D16" s="850">
        <f>'Table 3 Levels 1&amp;2'!AL19*90%</f>
        <v>1463.8737701612904</v>
      </c>
      <c r="E16" s="850">
        <f t="shared" si="2"/>
        <v>1463.8737701612904</v>
      </c>
      <c r="F16" s="851">
        <f>'Table 4 Level 3'!P17*90%</f>
        <v>956.97899999999993</v>
      </c>
      <c r="G16" s="851">
        <f t="shared" si="3"/>
        <v>956.97899999999993</v>
      </c>
      <c r="H16" s="851">
        <f t="shared" si="4"/>
        <v>2420.8527701612902</v>
      </c>
      <c r="I16" s="851">
        <f>'Oct midyear adj_LA virtual'!K17</f>
        <v>-2420.8527701612902</v>
      </c>
      <c r="J16" s="851">
        <f>'Feb midyear adj_LA virtual '!K17</f>
        <v>0</v>
      </c>
      <c r="K16" s="851">
        <f t="shared" si="5"/>
        <v>-2420.8527701612902</v>
      </c>
      <c r="L16" s="851">
        <f t="shared" si="6"/>
        <v>0</v>
      </c>
      <c r="M16" s="851">
        <f t="shared" si="7"/>
        <v>0</v>
      </c>
      <c r="N16" s="852">
        <f t="shared" si="8"/>
        <v>0</v>
      </c>
      <c r="O16" s="852">
        <v>0</v>
      </c>
      <c r="P16" s="853">
        <f t="shared" si="9"/>
        <v>0</v>
      </c>
      <c r="Q16" s="854"/>
      <c r="R16" s="853">
        <f t="shared" si="10"/>
        <v>0</v>
      </c>
      <c r="S16" s="853">
        <f>201*8</f>
        <v>1608</v>
      </c>
      <c r="T16" s="853">
        <f t="shared" si="11"/>
        <v>-1608</v>
      </c>
      <c r="U16" s="853">
        <f t="shared" si="12"/>
        <v>-402</v>
      </c>
      <c r="V16" s="855">
        <f>'[11]FY2011-12_Final'!$K19*90%</f>
        <v>9981.9</v>
      </c>
      <c r="W16" s="856">
        <f t="shared" si="1"/>
        <v>9981.9</v>
      </c>
      <c r="X16" s="857">
        <f>'Oct midyear adj_LA virtual'!E17</f>
        <v>-1</v>
      </c>
      <c r="Y16" s="856">
        <f t="shared" si="13"/>
        <v>-9981.9</v>
      </c>
      <c r="Z16" s="857">
        <f>'Feb midyear adj_LA virtual '!E17</f>
        <v>0</v>
      </c>
      <c r="AA16" s="856">
        <f t="shared" si="14"/>
        <v>0</v>
      </c>
      <c r="AB16" s="856">
        <f t="shared" si="15"/>
        <v>-9981.9</v>
      </c>
      <c r="AC16" s="856">
        <f t="shared" si="16"/>
        <v>0</v>
      </c>
      <c r="AD16" s="856">
        <f t="shared" si="17"/>
        <v>0</v>
      </c>
      <c r="AE16" s="856">
        <f t="shared" si="18"/>
        <v>0</v>
      </c>
      <c r="AF16" s="855">
        <v>0</v>
      </c>
      <c r="AG16" s="858">
        <f t="shared" si="19"/>
        <v>0</v>
      </c>
      <c r="AH16" s="858">
        <f>814*8</f>
        <v>6512</v>
      </c>
      <c r="AI16" s="858">
        <f t="shared" si="20"/>
        <v>-6512</v>
      </c>
      <c r="AJ16" s="858">
        <f t="shared" si="21"/>
        <v>-1628</v>
      </c>
      <c r="AK16" s="859">
        <f t="shared" si="22"/>
        <v>0</v>
      </c>
      <c r="AL16" s="859">
        <f t="shared" si="23"/>
        <v>-2030</v>
      </c>
      <c r="AM16" s="1517"/>
      <c r="AN16" s="1517"/>
      <c r="AO16" s="1517">
        <v>-24</v>
      </c>
      <c r="AP16" s="1517"/>
      <c r="AQ16" s="1521">
        <f t="shared" si="24"/>
        <v>24</v>
      </c>
    </row>
    <row r="17" spans="1:43" s="795" customFormat="1" ht="17.25" customHeight="1">
      <c r="A17" s="836">
        <v>13</v>
      </c>
      <c r="B17" s="837" t="s">
        <v>190</v>
      </c>
      <c r="C17" s="849">
        <v>5</v>
      </c>
      <c r="D17" s="850">
        <f>'Table 3 Levels 1&amp;2'!AL20*90%</f>
        <v>5378.4402697520791</v>
      </c>
      <c r="E17" s="850">
        <f t="shared" si="2"/>
        <v>26892.201348760394</v>
      </c>
      <c r="F17" s="851">
        <f>'Table 4 Level 3'!P18*90%</f>
        <v>674.48700000000008</v>
      </c>
      <c r="G17" s="851">
        <f t="shared" si="3"/>
        <v>3372.4350000000004</v>
      </c>
      <c r="H17" s="851">
        <f t="shared" si="4"/>
        <v>30264.636348760396</v>
      </c>
      <c r="I17" s="851">
        <f>'Oct midyear adj_LA virtual'!K18</f>
        <v>18158.781809256237</v>
      </c>
      <c r="J17" s="851">
        <f>'Feb midyear adj_LA virtual '!K18</f>
        <v>33291.099983636435</v>
      </c>
      <c r="K17" s="851">
        <f t="shared" si="5"/>
        <v>51449.881792892673</v>
      </c>
      <c r="L17" s="851">
        <f t="shared" si="6"/>
        <v>81714.518141653069</v>
      </c>
      <c r="M17" s="851">
        <f t="shared" si="7"/>
        <v>-204</v>
      </c>
      <c r="N17" s="852">
        <f t="shared" si="8"/>
        <v>81510.518141653069</v>
      </c>
      <c r="O17" s="852">
        <v>0</v>
      </c>
      <c r="P17" s="853">
        <f t="shared" si="9"/>
        <v>81510.518141653069</v>
      </c>
      <c r="Q17" s="854"/>
      <c r="R17" s="853">
        <f t="shared" si="10"/>
        <v>81510.518141653069</v>
      </c>
      <c r="S17" s="853">
        <f>2516*8</f>
        <v>20128</v>
      </c>
      <c r="T17" s="853">
        <f t="shared" si="11"/>
        <v>61382.518141653069</v>
      </c>
      <c r="U17" s="853">
        <f t="shared" si="12"/>
        <v>15346</v>
      </c>
      <c r="V17" s="855">
        <f>'[11]FY2011-12_Final'!$K20*90%</f>
        <v>2166.3000000000002</v>
      </c>
      <c r="W17" s="856">
        <f t="shared" si="1"/>
        <v>10831.5</v>
      </c>
      <c r="X17" s="857">
        <f>'Oct midyear adj_LA virtual'!E18</f>
        <v>3</v>
      </c>
      <c r="Y17" s="856">
        <f t="shared" si="13"/>
        <v>6498.9000000000005</v>
      </c>
      <c r="Z17" s="857">
        <f>'Feb midyear adj_LA virtual '!E18</f>
        <v>11</v>
      </c>
      <c r="AA17" s="856">
        <f t="shared" si="14"/>
        <v>11914.650000000001</v>
      </c>
      <c r="AB17" s="856">
        <f t="shared" si="15"/>
        <v>18413.550000000003</v>
      </c>
      <c r="AC17" s="856">
        <f t="shared" si="16"/>
        <v>29245.050000000003</v>
      </c>
      <c r="AD17" s="856">
        <f t="shared" si="17"/>
        <v>-73</v>
      </c>
      <c r="AE17" s="856">
        <f t="shared" si="18"/>
        <v>29172.050000000003</v>
      </c>
      <c r="AF17" s="855">
        <v>0</v>
      </c>
      <c r="AG17" s="858">
        <f t="shared" si="19"/>
        <v>29172.050000000003</v>
      </c>
      <c r="AH17" s="858">
        <f>894*8</f>
        <v>7152</v>
      </c>
      <c r="AI17" s="858">
        <f t="shared" si="20"/>
        <v>22020.050000000003</v>
      </c>
      <c r="AJ17" s="858">
        <f t="shared" si="21"/>
        <v>5505</v>
      </c>
      <c r="AK17" s="859">
        <f t="shared" si="22"/>
        <v>110682.56814165307</v>
      </c>
      <c r="AL17" s="859">
        <f t="shared" si="23"/>
        <v>20851</v>
      </c>
      <c r="AM17" s="1517"/>
      <c r="AN17" s="1517"/>
      <c r="AO17" s="1517">
        <v>-27</v>
      </c>
      <c r="AP17" s="1517"/>
      <c r="AQ17" s="1521">
        <f t="shared" si="24"/>
        <v>-46</v>
      </c>
    </row>
    <row r="18" spans="1:43" s="795" customFormat="1" ht="17.25" customHeight="1">
      <c r="A18" s="836">
        <v>14</v>
      </c>
      <c r="B18" s="837" t="s">
        <v>191</v>
      </c>
      <c r="C18" s="849">
        <v>2</v>
      </c>
      <c r="D18" s="850">
        <f>'Table 3 Levels 1&amp;2'!AL21*90%</f>
        <v>5174.0803150666798</v>
      </c>
      <c r="E18" s="850">
        <f t="shared" si="2"/>
        <v>10348.16063013336</v>
      </c>
      <c r="F18" s="851">
        <f>'Table 4 Level 3'!P19*90%</f>
        <v>728.98199999999997</v>
      </c>
      <c r="G18" s="851">
        <f t="shared" si="3"/>
        <v>1457.9639999999999</v>
      </c>
      <c r="H18" s="851">
        <f t="shared" si="4"/>
        <v>11806.124630133359</v>
      </c>
      <c r="I18" s="851">
        <f>'Oct midyear adj_LA virtual'!K19</f>
        <v>11806.124630133359</v>
      </c>
      <c r="J18" s="851">
        <f>'Feb midyear adj_LA virtual '!K19</f>
        <v>0</v>
      </c>
      <c r="K18" s="851">
        <f t="shared" si="5"/>
        <v>11806.124630133359</v>
      </c>
      <c r="L18" s="851">
        <f t="shared" si="6"/>
        <v>23612.249260266719</v>
      </c>
      <c r="M18" s="851">
        <f t="shared" si="7"/>
        <v>-59</v>
      </c>
      <c r="N18" s="852">
        <f t="shared" si="8"/>
        <v>23553.249260266719</v>
      </c>
      <c r="O18" s="852">
        <v>0</v>
      </c>
      <c r="P18" s="853">
        <f t="shared" si="9"/>
        <v>23553.249260266719</v>
      </c>
      <c r="Q18" s="854"/>
      <c r="R18" s="853">
        <f t="shared" si="10"/>
        <v>23553.249260266719</v>
      </c>
      <c r="S18" s="853">
        <f>981*8</f>
        <v>7848</v>
      </c>
      <c r="T18" s="853">
        <f t="shared" si="11"/>
        <v>15705.249260266719</v>
      </c>
      <c r="U18" s="853">
        <f t="shared" si="12"/>
        <v>3926</v>
      </c>
      <c r="V18" s="855">
        <f>'[11]FY2011-12_Final'!$K21*90%</f>
        <v>3016.8</v>
      </c>
      <c r="W18" s="856">
        <f t="shared" si="1"/>
        <v>6033.6</v>
      </c>
      <c r="X18" s="857">
        <f>'Oct midyear adj_LA virtual'!E19</f>
        <v>2</v>
      </c>
      <c r="Y18" s="856">
        <f t="shared" si="13"/>
        <v>6033.6</v>
      </c>
      <c r="Z18" s="857">
        <f>'Feb midyear adj_LA virtual '!E19</f>
        <v>0</v>
      </c>
      <c r="AA18" s="856">
        <f t="shared" si="14"/>
        <v>0</v>
      </c>
      <c r="AB18" s="856">
        <f t="shared" si="15"/>
        <v>6033.6</v>
      </c>
      <c r="AC18" s="856">
        <f t="shared" si="16"/>
        <v>12067.2</v>
      </c>
      <c r="AD18" s="856">
        <f t="shared" si="17"/>
        <v>-30</v>
      </c>
      <c r="AE18" s="856">
        <f t="shared" si="18"/>
        <v>12037.2</v>
      </c>
      <c r="AF18" s="855">
        <v>0</v>
      </c>
      <c r="AG18" s="858">
        <f t="shared" si="19"/>
        <v>12037.2</v>
      </c>
      <c r="AH18" s="858">
        <f>475*8</f>
        <v>3800</v>
      </c>
      <c r="AI18" s="858">
        <f t="shared" si="20"/>
        <v>8237.2000000000007</v>
      </c>
      <c r="AJ18" s="858">
        <f t="shared" si="21"/>
        <v>2059</v>
      </c>
      <c r="AK18" s="859">
        <f t="shared" si="22"/>
        <v>35590.449260266716</v>
      </c>
      <c r="AL18" s="859">
        <f t="shared" si="23"/>
        <v>5985</v>
      </c>
      <c r="AM18" s="1517"/>
      <c r="AN18" s="1517"/>
      <c r="AO18" s="1517">
        <v>-14</v>
      </c>
      <c r="AP18" s="1517"/>
      <c r="AQ18" s="1521">
        <f t="shared" si="24"/>
        <v>-16</v>
      </c>
    </row>
    <row r="19" spans="1:43" s="795" customFormat="1" ht="17.25" customHeight="1">
      <c r="A19" s="860">
        <v>15</v>
      </c>
      <c r="B19" s="861" t="s">
        <v>192</v>
      </c>
      <c r="C19" s="862">
        <v>4</v>
      </c>
      <c r="D19" s="863">
        <f>'Table 3 Levels 1&amp;2'!AL22*90%</f>
        <v>4858.7192769100766</v>
      </c>
      <c r="E19" s="863">
        <f t="shared" si="2"/>
        <v>19434.877107640306</v>
      </c>
      <c r="F19" s="864">
        <f>'Table 4 Level 3'!P20*90%</f>
        <v>498.41999999999996</v>
      </c>
      <c r="G19" s="864">
        <f t="shared" si="3"/>
        <v>1993.6799999999998</v>
      </c>
      <c r="H19" s="864">
        <f t="shared" si="4"/>
        <v>21428.557107640307</v>
      </c>
      <c r="I19" s="864">
        <f>'Oct midyear adj_LA virtual'!K20</f>
        <v>-5357.1392769100767</v>
      </c>
      <c r="J19" s="864">
        <f>'Feb midyear adj_LA virtual '!K20</f>
        <v>8035.708915365115</v>
      </c>
      <c r="K19" s="864">
        <f t="shared" si="5"/>
        <v>2678.5696384550383</v>
      </c>
      <c r="L19" s="864">
        <f t="shared" si="6"/>
        <v>24107.126746095346</v>
      </c>
      <c r="M19" s="864">
        <f t="shared" si="7"/>
        <v>-60</v>
      </c>
      <c r="N19" s="865">
        <f t="shared" si="8"/>
        <v>24047.126746095346</v>
      </c>
      <c r="O19" s="865">
        <v>0</v>
      </c>
      <c r="P19" s="866">
        <f t="shared" si="9"/>
        <v>24047.126746095346</v>
      </c>
      <c r="Q19" s="867"/>
      <c r="R19" s="866">
        <f t="shared" si="10"/>
        <v>24047.126746095346</v>
      </c>
      <c r="S19" s="866">
        <f>1781*8</f>
        <v>14248</v>
      </c>
      <c r="T19" s="866">
        <f t="shared" si="11"/>
        <v>9799.1267460953459</v>
      </c>
      <c r="U19" s="866">
        <f t="shared" si="12"/>
        <v>2450</v>
      </c>
      <c r="V19" s="868">
        <f>'[11]FY2011-12_Final'!$K22*90%</f>
        <v>2295</v>
      </c>
      <c r="W19" s="869">
        <f t="shared" si="1"/>
        <v>9180</v>
      </c>
      <c r="X19" s="870">
        <f>'Oct midyear adj_LA virtual'!E20</f>
        <v>-1</v>
      </c>
      <c r="Y19" s="869">
        <f t="shared" si="13"/>
        <v>-2295</v>
      </c>
      <c r="Z19" s="870">
        <f>'Feb midyear adj_LA virtual '!E20</f>
        <v>3</v>
      </c>
      <c r="AA19" s="869">
        <f t="shared" si="14"/>
        <v>3442.5</v>
      </c>
      <c r="AB19" s="869">
        <f t="shared" si="15"/>
        <v>1147.5</v>
      </c>
      <c r="AC19" s="869">
        <f t="shared" si="16"/>
        <v>10327.5</v>
      </c>
      <c r="AD19" s="869">
        <f t="shared" si="17"/>
        <v>-26</v>
      </c>
      <c r="AE19" s="869">
        <f t="shared" si="18"/>
        <v>10301.5</v>
      </c>
      <c r="AF19" s="868">
        <v>0</v>
      </c>
      <c r="AG19" s="871">
        <f t="shared" si="19"/>
        <v>10301.5</v>
      </c>
      <c r="AH19" s="871">
        <f>733*8</f>
        <v>5864</v>
      </c>
      <c r="AI19" s="871">
        <f t="shared" si="20"/>
        <v>4437.5</v>
      </c>
      <c r="AJ19" s="871">
        <f t="shared" si="21"/>
        <v>1109</v>
      </c>
      <c r="AK19" s="872">
        <f t="shared" si="22"/>
        <v>34348.626746095346</v>
      </c>
      <c r="AL19" s="872">
        <f t="shared" si="23"/>
        <v>3559</v>
      </c>
      <c r="AM19" s="1517"/>
      <c r="AN19" s="1517"/>
      <c r="AO19" s="1517">
        <v>-22</v>
      </c>
      <c r="AP19" s="1517"/>
      <c r="AQ19" s="1521">
        <f t="shared" si="24"/>
        <v>-4</v>
      </c>
    </row>
    <row r="20" spans="1:43" s="795" customFormat="1" ht="17.25" customHeight="1">
      <c r="A20" s="836">
        <v>16</v>
      </c>
      <c r="B20" s="837" t="s">
        <v>193</v>
      </c>
      <c r="C20" s="838">
        <v>7</v>
      </c>
      <c r="D20" s="839">
        <f>'Table 3 Levels 1&amp;2'!AL23*90%</f>
        <v>1361.8761225144324</v>
      </c>
      <c r="E20" s="839">
        <f t="shared" si="2"/>
        <v>9533.1328576010274</v>
      </c>
      <c r="F20" s="840">
        <f>'Table 4 Level 3'!P21*90%</f>
        <v>618.05700000000002</v>
      </c>
      <c r="G20" s="840">
        <f t="shared" si="3"/>
        <v>4326.3990000000003</v>
      </c>
      <c r="H20" s="840">
        <f t="shared" si="4"/>
        <v>13859.531857601029</v>
      </c>
      <c r="I20" s="840">
        <f>'Oct midyear adj_LA virtual'!K21</f>
        <v>17819.398102629893</v>
      </c>
      <c r="J20" s="840">
        <f>'Feb midyear adj_LA virtual '!K21</f>
        <v>-2969.8996837716486</v>
      </c>
      <c r="K20" s="840">
        <f t="shared" si="5"/>
        <v>14849.498418858246</v>
      </c>
      <c r="L20" s="840">
        <f t="shared" si="6"/>
        <v>28709.030276459274</v>
      </c>
      <c r="M20" s="840">
        <f t="shared" si="7"/>
        <v>-72</v>
      </c>
      <c r="N20" s="841">
        <f t="shared" si="8"/>
        <v>28637.030276459274</v>
      </c>
      <c r="O20" s="841">
        <v>0</v>
      </c>
      <c r="P20" s="842">
        <f t="shared" si="9"/>
        <v>28637.030276459274</v>
      </c>
      <c r="Q20" s="843"/>
      <c r="R20" s="842">
        <f t="shared" si="10"/>
        <v>28637.030276459274</v>
      </c>
      <c r="S20" s="842">
        <f>1152*8</f>
        <v>9216</v>
      </c>
      <c r="T20" s="842">
        <f t="shared" si="11"/>
        <v>19421.030276459274</v>
      </c>
      <c r="U20" s="842">
        <f t="shared" si="12"/>
        <v>4855</v>
      </c>
      <c r="V20" s="844">
        <f>'[11]FY2011-12_Final'!$K23*90%</f>
        <v>17708.400000000001</v>
      </c>
      <c r="W20" s="845">
        <f t="shared" si="1"/>
        <v>123958.80000000002</v>
      </c>
      <c r="X20" s="846">
        <f>'Oct midyear adj_LA virtual'!E21</f>
        <v>9</v>
      </c>
      <c r="Y20" s="845">
        <f t="shared" si="13"/>
        <v>159375.6</v>
      </c>
      <c r="Z20" s="846">
        <f>'Feb midyear adj_LA virtual '!E21</f>
        <v>-3</v>
      </c>
      <c r="AA20" s="845">
        <f t="shared" si="14"/>
        <v>-26562.600000000002</v>
      </c>
      <c r="AB20" s="845">
        <f t="shared" si="15"/>
        <v>132813</v>
      </c>
      <c r="AC20" s="845">
        <f t="shared" si="16"/>
        <v>256771.80000000002</v>
      </c>
      <c r="AD20" s="845">
        <f t="shared" si="17"/>
        <v>-642</v>
      </c>
      <c r="AE20" s="845">
        <f t="shared" si="18"/>
        <v>256129.80000000002</v>
      </c>
      <c r="AF20" s="844">
        <v>0</v>
      </c>
      <c r="AG20" s="847">
        <f t="shared" si="19"/>
        <v>256129.80000000002</v>
      </c>
      <c r="AH20" s="847">
        <f>9866*8</f>
        <v>78928</v>
      </c>
      <c r="AI20" s="847">
        <f t="shared" si="20"/>
        <v>177201.80000000002</v>
      </c>
      <c r="AJ20" s="847">
        <f t="shared" si="21"/>
        <v>44300</v>
      </c>
      <c r="AK20" s="848">
        <f t="shared" si="22"/>
        <v>284766.83027645928</v>
      </c>
      <c r="AL20" s="848">
        <f t="shared" si="23"/>
        <v>49155</v>
      </c>
      <c r="AM20" s="1517"/>
      <c r="AN20" s="1517"/>
      <c r="AO20" s="1517">
        <v>-297</v>
      </c>
      <c r="AP20" s="1517"/>
      <c r="AQ20" s="1521">
        <f t="shared" si="24"/>
        <v>-345</v>
      </c>
    </row>
    <row r="21" spans="1:43" s="795" customFormat="1" ht="17.25" customHeight="1">
      <c r="A21" s="836">
        <v>17</v>
      </c>
      <c r="B21" s="837" t="s">
        <v>75</v>
      </c>
      <c r="C21" s="849">
        <v>71</v>
      </c>
      <c r="D21" s="850">
        <f>'Table 3 Levels 1&amp;2'!AL24*90%</f>
        <v>2940.1220784729112</v>
      </c>
      <c r="E21" s="850">
        <f t="shared" si="2"/>
        <v>208748.66757157669</v>
      </c>
      <c r="F21" s="851">
        <f>'Table 5B2_RSD_LA'!F7*90%</f>
        <v>721.32986175126121</v>
      </c>
      <c r="G21" s="851">
        <f t="shared" si="3"/>
        <v>51214.420184339542</v>
      </c>
      <c r="H21" s="851">
        <f t="shared" si="4"/>
        <v>259963.08775591623</v>
      </c>
      <c r="I21" s="851">
        <f>'Oct midyear adj_LA virtual'!K22</f>
        <v>32953.067462017549</v>
      </c>
      <c r="J21" s="851">
        <f>'Feb midyear adj_LA virtual '!K22</f>
        <v>-21968.711641345035</v>
      </c>
      <c r="K21" s="851">
        <f t="shared" si="5"/>
        <v>10984.355820672514</v>
      </c>
      <c r="L21" s="851">
        <f t="shared" si="6"/>
        <v>270947.4435765887</v>
      </c>
      <c r="M21" s="851">
        <f t="shared" si="7"/>
        <v>-677</v>
      </c>
      <c r="N21" s="852">
        <f t="shared" si="8"/>
        <v>270270.4435765887</v>
      </c>
      <c r="O21" s="852">
        <v>0</v>
      </c>
      <c r="P21" s="853">
        <f t="shared" si="9"/>
        <v>270270.4435765887</v>
      </c>
      <c r="Q21" s="854"/>
      <c r="R21" s="853">
        <f t="shared" si="10"/>
        <v>270270.4435765887</v>
      </c>
      <c r="S21" s="853">
        <f>21609*8</f>
        <v>172872</v>
      </c>
      <c r="T21" s="853">
        <f t="shared" si="11"/>
        <v>97398.443576588703</v>
      </c>
      <c r="U21" s="853">
        <f t="shared" si="12"/>
        <v>24350</v>
      </c>
      <c r="V21" s="855">
        <f>'[11]FY2011-12_Final'!$K24*90%</f>
        <v>5621.4000000000005</v>
      </c>
      <c r="W21" s="856">
        <f t="shared" si="1"/>
        <v>399119.4</v>
      </c>
      <c r="X21" s="857">
        <f>'Oct midyear adj_LA virtual'!E22</f>
        <v>9</v>
      </c>
      <c r="Y21" s="856">
        <f t="shared" si="13"/>
        <v>50592.600000000006</v>
      </c>
      <c r="Z21" s="857">
        <f>'Feb midyear adj_LA virtual '!E22</f>
        <v>-12</v>
      </c>
      <c r="AA21" s="856">
        <f t="shared" si="14"/>
        <v>-33728.400000000001</v>
      </c>
      <c r="AB21" s="856">
        <f t="shared" si="15"/>
        <v>16864.200000000004</v>
      </c>
      <c r="AC21" s="856">
        <f t="shared" si="16"/>
        <v>415983.6</v>
      </c>
      <c r="AD21" s="856">
        <f t="shared" si="17"/>
        <v>-1040</v>
      </c>
      <c r="AE21" s="856">
        <f t="shared" si="18"/>
        <v>414943.6</v>
      </c>
      <c r="AF21" s="855">
        <v>0</v>
      </c>
      <c r="AG21" s="858">
        <f t="shared" si="19"/>
        <v>414943.6</v>
      </c>
      <c r="AH21" s="858">
        <f>33166*8</f>
        <v>265328</v>
      </c>
      <c r="AI21" s="858">
        <f t="shared" si="20"/>
        <v>149615.59999999998</v>
      </c>
      <c r="AJ21" s="858">
        <f t="shared" si="21"/>
        <v>37404</v>
      </c>
      <c r="AK21" s="859">
        <f t="shared" si="22"/>
        <v>685214.04357658862</v>
      </c>
      <c r="AL21" s="859">
        <f t="shared" si="23"/>
        <v>61754</v>
      </c>
      <c r="AM21" s="1517"/>
      <c r="AN21" s="1517"/>
      <c r="AO21" s="1517">
        <v>-997</v>
      </c>
      <c r="AP21" s="1517"/>
      <c r="AQ21" s="1521">
        <f t="shared" si="24"/>
        <v>-43</v>
      </c>
    </row>
    <row r="22" spans="1:43" s="795" customFormat="1" ht="17.25" customHeight="1">
      <c r="A22" s="836">
        <v>18</v>
      </c>
      <c r="B22" s="837" t="s">
        <v>194</v>
      </c>
      <c r="C22" s="849">
        <v>3</v>
      </c>
      <c r="D22" s="850">
        <f>'Table 3 Levels 1&amp;2'!AL25*90%</f>
        <v>5192.4109119662935</v>
      </c>
      <c r="E22" s="850">
        <f t="shared" si="2"/>
        <v>15577.23273589888</v>
      </c>
      <c r="F22" s="851">
        <f>'Table 4 Level 3'!P23*90%</f>
        <v>761.3549999999999</v>
      </c>
      <c r="G22" s="851">
        <f t="shared" si="3"/>
        <v>2284.0649999999996</v>
      </c>
      <c r="H22" s="851">
        <f t="shared" si="4"/>
        <v>17861.297735898879</v>
      </c>
      <c r="I22" s="851">
        <f>'Oct midyear adj_LA virtual'!K23</f>
        <v>-11907.531823932586</v>
      </c>
      <c r="J22" s="851">
        <f>'Feb midyear adj_LA virtual '!K23</f>
        <v>0</v>
      </c>
      <c r="K22" s="851">
        <f t="shared" si="5"/>
        <v>-11907.531823932586</v>
      </c>
      <c r="L22" s="851">
        <f t="shared" si="6"/>
        <v>5953.7659119662931</v>
      </c>
      <c r="M22" s="851">
        <f t="shared" si="7"/>
        <v>-15</v>
      </c>
      <c r="N22" s="852">
        <f t="shared" si="8"/>
        <v>5938.7659119662931</v>
      </c>
      <c r="O22" s="852">
        <v>0</v>
      </c>
      <c r="P22" s="853">
        <f t="shared" si="9"/>
        <v>5938.7659119662931</v>
      </c>
      <c r="Q22" s="854"/>
      <c r="R22" s="853">
        <f t="shared" si="10"/>
        <v>5938.7659119662931</v>
      </c>
      <c r="S22" s="853">
        <f>1485*8</f>
        <v>11880</v>
      </c>
      <c r="T22" s="853">
        <f t="shared" si="11"/>
        <v>-5941.2340880337069</v>
      </c>
      <c r="U22" s="853">
        <f t="shared" si="12"/>
        <v>-1485</v>
      </c>
      <c r="V22" s="855">
        <f>'[11]FY2011-12_Final'!$K25*90%</f>
        <v>1691.1000000000001</v>
      </c>
      <c r="W22" s="856">
        <f t="shared" si="1"/>
        <v>5073.3</v>
      </c>
      <c r="X22" s="857">
        <f>'Oct midyear adj_LA virtual'!E23</f>
        <v>-2</v>
      </c>
      <c r="Y22" s="856">
        <f t="shared" si="13"/>
        <v>-3382.2000000000003</v>
      </c>
      <c r="Z22" s="857">
        <f>'Feb midyear adj_LA virtual '!E23</f>
        <v>0</v>
      </c>
      <c r="AA22" s="856">
        <f t="shared" si="14"/>
        <v>0</v>
      </c>
      <c r="AB22" s="856">
        <f t="shared" si="15"/>
        <v>-3382.2000000000003</v>
      </c>
      <c r="AC22" s="856">
        <f t="shared" si="16"/>
        <v>1691.1</v>
      </c>
      <c r="AD22" s="856">
        <f t="shared" si="17"/>
        <v>-4</v>
      </c>
      <c r="AE22" s="856">
        <f t="shared" si="18"/>
        <v>1687.1</v>
      </c>
      <c r="AF22" s="855">
        <v>0</v>
      </c>
      <c r="AG22" s="858">
        <f t="shared" si="19"/>
        <v>1687.1</v>
      </c>
      <c r="AH22" s="858">
        <f>394*8</f>
        <v>3152</v>
      </c>
      <c r="AI22" s="858">
        <f t="shared" si="20"/>
        <v>-1464.9</v>
      </c>
      <c r="AJ22" s="858">
        <f t="shared" si="21"/>
        <v>-366</v>
      </c>
      <c r="AK22" s="859">
        <f t="shared" si="22"/>
        <v>7625.8659119662934</v>
      </c>
      <c r="AL22" s="859">
        <f t="shared" si="23"/>
        <v>-1851</v>
      </c>
      <c r="AM22" s="1517"/>
      <c r="AN22" s="1517"/>
      <c r="AO22" s="1517">
        <v>-12</v>
      </c>
      <c r="AP22" s="1517"/>
      <c r="AQ22" s="1521">
        <f t="shared" si="24"/>
        <v>8</v>
      </c>
    </row>
    <row r="23" spans="1:43" s="795" customFormat="1" ht="17.25" customHeight="1">
      <c r="A23" s="836">
        <v>19</v>
      </c>
      <c r="B23" s="837" t="s">
        <v>195</v>
      </c>
      <c r="C23" s="849">
        <v>5</v>
      </c>
      <c r="D23" s="850">
        <f>'Table 3 Levels 1&amp;2'!AL26*90%</f>
        <v>4683.746652806537</v>
      </c>
      <c r="E23" s="850">
        <f t="shared" si="2"/>
        <v>23418.733264032686</v>
      </c>
      <c r="F23" s="851">
        <f>'Table 4 Level 3'!P24*90%</f>
        <v>814.88699999999994</v>
      </c>
      <c r="G23" s="851">
        <f t="shared" si="3"/>
        <v>4074.4349999999995</v>
      </c>
      <c r="H23" s="851">
        <f t="shared" si="4"/>
        <v>27493.168264032684</v>
      </c>
      <c r="I23" s="851">
        <f>'Oct midyear adj_LA virtual'!K24</f>
        <v>10997.267305613073</v>
      </c>
      <c r="J23" s="851">
        <f>'Feb midyear adj_LA virtual '!K24</f>
        <v>0</v>
      </c>
      <c r="K23" s="851">
        <f t="shared" si="5"/>
        <v>10997.267305613073</v>
      </c>
      <c r="L23" s="851">
        <f t="shared" si="6"/>
        <v>38490.435569645757</v>
      </c>
      <c r="M23" s="851">
        <f t="shared" si="7"/>
        <v>-96</v>
      </c>
      <c r="N23" s="852">
        <f t="shared" si="8"/>
        <v>38394.435569645757</v>
      </c>
      <c r="O23" s="852">
        <v>0</v>
      </c>
      <c r="P23" s="853">
        <f t="shared" si="9"/>
        <v>38394.435569645757</v>
      </c>
      <c r="Q23" s="854"/>
      <c r="R23" s="853">
        <f t="shared" si="10"/>
        <v>38394.435569645757</v>
      </c>
      <c r="S23" s="853">
        <f>2285*8</f>
        <v>18280</v>
      </c>
      <c r="T23" s="853">
        <f t="shared" si="11"/>
        <v>20114.435569645757</v>
      </c>
      <c r="U23" s="853">
        <f t="shared" si="12"/>
        <v>5029</v>
      </c>
      <c r="V23" s="855">
        <f>'[11]FY2011-12_Final'!$K26*90%</f>
        <v>2022.3</v>
      </c>
      <c r="W23" s="856">
        <f t="shared" si="1"/>
        <v>10111.5</v>
      </c>
      <c r="X23" s="857">
        <f>'Oct midyear adj_LA virtual'!E24</f>
        <v>2</v>
      </c>
      <c r="Y23" s="856">
        <f t="shared" si="13"/>
        <v>4044.6</v>
      </c>
      <c r="Z23" s="857">
        <f>'Feb midyear adj_LA virtual '!E24</f>
        <v>0</v>
      </c>
      <c r="AA23" s="856">
        <f t="shared" si="14"/>
        <v>0</v>
      </c>
      <c r="AB23" s="856">
        <f t="shared" si="15"/>
        <v>4044.6</v>
      </c>
      <c r="AC23" s="856">
        <f t="shared" si="16"/>
        <v>14156.1</v>
      </c>
      <c r="AD23" s="856">
        <f t="shared" si="17"/>
        <v>-35</v>
      </c>
      <c r="AE23" s="856">
        <f t="shared" si="18"/>
        <v>14121.1</v>
      </c>
      <c r="AF23" s="855">
        <v>0</v>
      </c>
      <c r="AG23" s="858">
        <f t="shared" si="19"/>
        <v>14121.1</v>
      </c>
      <c r="AH23" s="858">
        <f>808*8</f>
        <v>6464</v>
      </c>
      <c r="AI23" s="858">
        <f t="shared" si="20"/>
        <v>7657.1</v>
      </c>
      <c r="AJ23" s="858">
        <f t="shared" si="21"/>
        <v>1914</v>
      </c>
      <c r="AK23" s="859">
        <f t="shared" si="22"/>
        <v>52515.535569645755</v>
      </c>
      <c r="AL23" s="859">
        <f t="shared" si="23"/>
        <v>6943</v>
      </c>
      <c r="AM23" s="1517"/>
      <c r="AN23" s="1517"/>
      <c r="AO23" s="1517">
        <v>-24</v>
      </c>
      <c r="AP23" s="1517"/>
      <c r="AQ23" s="1521">
        <f t="shared" si="24"/>
        <v>-11</v>
      </c>
    </row>
    <row r="24" spans="1:43" s="795" customFormat="1" ht="17.25" customHeight="1">
      <c r="A24" s="860">
        <v>20</v>
      </c>
      <c r="B24" s="861" t="s">
        <v>196</v>
      </c>
      <c r="C24" s="862">
        <v>5</v>
      </c>
      <c r="D24" s="863">
        <f>'Table 3 Levels 1&amp;2'!AL27*90%</f>
        <v>4894.3760417440953</v>
      </c>
      <c r="E24" s="863">
        <f t="shared" si="2"/>
        <v>24471.880208720475</v>
      </c>
      <c r="F24" s="864">
        <f>'Table 4 Level 3'!P25*90%</f>
        <v>527.553</v>
      </c>
      <c r="G24" s="864">
        <f t="shared" si="3"/>
        <v>2637.7649999999999</v>
      </c>
      <c r="H24" s="864">
        <f t="shared" si="4"/>
        <v>27109.645208720474</v>
      </c>
      <c r="I24" s="864">
        <f>'Oct midyear adj_LA virtual'!K25</f>
        <v>-5421.9290417440952</v>
      </c>
      <c r="J24" s="864">
        <f>'Feb midyear adj_LA virtual '!K25</f>
        <v>8132.8935626161428</v>
      </c>
      <c r="K24" s="864">
        <f t="shared" si="5"/>
        <v>2710.9645208720476</v>
      </c>
      <c r="L24" s="864">
        <f t="shared" si="6"/>
        <v>29820.609729592525</v>
      </c>
      <c r="M24" s="864">
        <f t="shared" si="7"/>
        <v>-75</v>
      </c>
      <c r="N24" s="865">
        <f t="shared" si="8"/>
        <v>29745.609729592525</v>
      </c>
      <c r="O24" s="865">
        <v>0</v>
      </c>
      <c r="P24" s="866">
        <f t="shared" si="9"/>
        <v>29745.609729592525</v>
      </c>
      <c r="Q24" s="867"/>
      <c r="R24" s="866">
        <f t="shared" si="10"/>
        <v>29745.609729592525</v>
      </c>
      <c r="S24" s="866">
        <f>2253*8</f>
        <v>18024</v>
      </c>
      <c r="T24" s="866">
        <f t="shared" si="11"/>
        <v>11721.609729592525</v>
      </c>
      <c r="U24" s="866">
        <f t="shared" si="12"/>
        <v>2930</v>
      </c>
      <c r="V24" s="868">
        <f>'[11]FY2011-12_Final'!$K27*90%</f>
        <v>1942.2</v>
      </c>
      <c r="W24" s="869">
        <f t="shared" si="1"/>
        <v>9711</v>
      </c>
      <c r="X24" s="870">
        <f>'Oct midyear adj_LA virtual'!E25</f>
        <v>-1</v>
      </c>
      <c r="Y24" s="869">
        <f t="shared" si="13"/>
        <v>-1942.2</v>
      </c>
      <c r="Z24" s="870">
        <f>'Feb midyear adj_LA virtual '!E25</f>
        <v>3</v>
      </c>
      <c r="AA24" s="869">
        <f t="shared" si="14"/>
        <v>2913.3</v>
      </c>
      <c r="AB24" s="869">
        <f t="shared" si="15"/>
        <v>971.10000000000014</v>
      </c>
      <c r="AC24" s="869">
        <f t="shared" si="16"/>
        <v>10682.1</v>
      </c>
      <c r="AD24" s="869">
        <f t="shared" si="17"/>
        <v>-27</v>
      </c>
      <c r="AE24" s="869">
        <f t="shared" si="18"/>
        <v>10655.1</v>
      </c>
      <c r="AF24" s="868">
        <v>0</v>
      </c>
      <c r="AG24" s="871">
        <f t="shared" si="19"/>
        <v>10655.1</v>
      </c>
      <c r="AH24" s="871">
        <f>795*8</f>
        <v>6360</v>
      </c>
      <c r="AI24" s="871">
        <f t="shared" si="20"/>
        <v>4295.1000000000004</v>
      </c>
      <c r="AJ24" s="871">
        <f t="shared" si="21"/>
        <v>1074</v>
      </c>
      <c r="AK24" s="872">
        <f t="shared" si="22"/>
        <v>40400.709729592527</v>
      </c>
      <c r="AL24" s="872">
        <f t="shared" si="23"/>
        <v>4004</v>
      </c>
      <c r="AM24" s="1517"/>
      <c r="AN24" s="1517"/>
      <c r="AO24" s="1517">
        <v>-24</v>
      </c>
      <c r="AP24" s="1517"/>
      <c r="AQ24" s="1521">
        <f t="shared" si="24"/>
        <v>-3</v>
      </c>
    </row>
    <row r="25" spans="1:43" s="795" customFormat="1" ht="17.25" customHeight="1">
      <c r="A25" s="836">
        <v>21</v>
      </c>
      <c r="B25" s="837" t="s">
        <v>197</v>
      </c>
      <c r="C25" s="838">
        <v>14</v>
      </c>
      <c r="D25" s="839">
        <f>'Table 3 Levels 1&amp;2'!AL28*90%</f>
        <v>5057.195413422467</v>
      </c>
      <c r="E25" s="839">
        <f t="shared" si="2"/>
        <v>70800.735787914542</v>
      </c>
      <c r="F25" s="840">
        <f>'Table 4 Level 3'!P26*90%</f>
        <v>549.31500000000005</v>
      </c>
      <c r="G25" s="840">
        <f t="shared" si="3"/>
        <v>7690.4100000000008</v>
      </c>
      <c r="H25" s="840">
        <f t="shared" si="4"/>
        <v>78491.145787914546</v>
      </c>
      <c r="I25" s="840">
        <f>'Oct midyear adj_LA virtual'!K26</f>
        <v>-78491.145787914546</v>
      </c>
      <c r="J25" s="840">
        <f>'Feb midyear adj_LA virtual '!K26</f>
        <v>0</v>
      </c>
      <c r="K25" s="840">
        <f t="shared" si="5"/>
        <v>-78491.145787914546</v>
      </c>
      <c r="L25" s="840">
        <f t="shared" si="6"/>
        <v>0</v>
      </c>
      <c r="M25" s="840">
        <f t="shared" si="7"/>
        <v>0</v>
      </c>
      <c r="N25" s="841">
        <f t="shared" si="8"/>
        <v>0</v>
      </c>
      <c r="O25" s="841">
        <v>0</v>
      </c>
      <c r="P25" s="842">
        <f t="shared" si="9"/>
        <v>0</v>
      </c>
      <c r="Q25" s="843"/>
      <c r="R25" s="842">
        <f t="shared" si="10"/>
        <v>0</v>
      </c>
      <c r="S25" s="842">
        <f>6525*8</f>
        <v>52200</v>
      </c>
      <c r="T25" s="842">
        <f t="shared" si="11"/>
        <v>-52200</v>
      </c>
      <c r="U25" s="842">
        <f t="shared" si="12"/>
        <v>-13050</v>
      </c>
      <c r="V25" s="844">
        <f>'[11]FY2011-12_Final'!$K28*90%</f>
        <v>1859.4</v>
      </c>
      <c r="W25" s="845">
        <f t="shared" si="1"/>
        <v>26031.600000000002</v>
      </c>
      <c r="X25" s="846">
        <f>'Oct midyear adj_LA virtual'!E26</f>
        <v>-14</v>
      </c>
      <c r="Y25" s="845">
        <f t="shared" si="13"/>
        <v>-26031.600000000002</v>
      </c>
      <c r="Z25" s="846">
        <f>'Feb midyear adj_LA virtual '!E26</f>
        <v>0</v>
      </c>
      <c r="AA25" s="845">
        <f t="shared" si="14"/>
        <v>0</v>
      </c>
      <c r="AB25" s="845">
        <f t="shared" si="15"/>
        <v>-26031.600000000002</v>
      </c>
      <c r="AC25" s="845">
        <f t="shared" si="16"/>
        <v>0</v>
      </c>
      <c r="AD25" s="845">
        <f t="shared" si="17"/>
        <v>0</v>
      </c>
      <c r="AE25" s="845">
        <f t="shared" si="18"/>
        <v>0</v>
      </c>
      <c r="AF25" s="844">
        <v>0</v>
      </c>
      <c r="AG25" s="847">
        <f t="shared" si="19"/>
        <v>0</v>
      </c>
      <c r="AH25" s="847">
        <f>1887*8</f>
        <v>15096</v>
      </c>
      <c r="AI25" s="847">
        <f t="shared" si="20"/>
        <v>-15096</v>
      </c>
      <c r="AJ25" s="847">
        <f t="shared" si="21"/>
        <v>-3774</v>
      </c>
      <c r="AK25" s="848">
        <f t="shared" si="22"/>
        <v>0</v>
      </c>
      <c r="AL25" s="848">
        <f t="shared" si="23"/>
        <v>-16824</v>
      </c>
      <c r="AM25" s="1517"/>
      <c r="AN25" s="1517"/>
      <c r="AO25" s="1517">
        <v>-57</v>
      </c>
      <c r="AP25" s="1517"/>
      <c r="AQ25" s="1521">
        <f t="shared" si="24"/>
        <v>57</v>
      </c>
    </row>
    <row r="26" spans="1:43" s="795" customFormat="1" ht="17.25" customHeight="1">
      <c r="A26" s="836">
        <v>22</v>
      </c>
      <c r="B26" s="837" t="s">
        <v>198</v>
      </c>
      <c r="C26" s="849">
        <v>1</v>
      </c>
      <c r="D26" s="850">
        <f>'Table 3 Levels 1&amp;2'!AL29*90%</f>
        <v>5567.6280255898364</v>
      </c>
      <c r="E26" s="850">
        <f t="shared" si="2"/>
        <v>5567.6280255898364</v>
      </c>
      <c r="F26" s="851">
        <f>'Table 4 Level 3'!P27*90%</f>
        <v>446.72400000000005</v>
      </c>
      <c r="G26" s="851">
        <f t="shared" si="3"/>
        <v>446.72400000000005</v>
      </c>
      <c r="H26" s="851">
        <f t="shared" si="4"/>
        <v>6014.3520255898366</v>
      </c>
      <c r="I26" s="851">
        <f>'Oct midyear adj_LA virtual'!K27</f>
        <v>0</v>
      </c>
      <c r="J26" s="851">
        <f>'Feb midyear adj_LA virtual '!K27</f>
        <v>3007.1760127949183</v>
      </c>
      <c r="K26" s="851">
        <f t="shared" si="5"/>
        <v>3007.1760127949183</v>
      </c>
      <c r="L26" s="851">
        <f t="shared" si="6"/>
        <v>9021.5280383847548</v>
      </c>
      <c r="M26" s="851">
        <f t="shared" si="7"/>
        <v>-23</v>
      </c>
      <c r="N26" s="852">
        <f t="shared" si="8"/>
        <v>8998.5280383847548</v>
      </c>
      <c r="O26" s="852">
        <v>0</v>
      </c>
      <c r="P26" s="853">
        <f t="shared" si="9"/>
        <v>8998.5280383847548</v>
      </c>
      <c r="Q26" s="854"/>
      <c r="R26" s="853">
        <f t="shared" si="10"/>
        <v>8998.5280383847548</v>
      </c>
      <c r="S26" s="853">
        <f>500*8</f>
        <v>4000</v>
      </c>
      <c r="T26" s="853">
        <f t="shared" si="11"/>
        <v>4998.5280383847548</v>
      </c>
      <c r="U26" s="853">
        <f t="shared" si="12"/>
        <v>1250</v>
      </c>
      <c r="V26" s="855">
        <f>'[11]FY2011-12_Final'!$K29*90%</f>
        <v>1286.1000000000001</v>
      </c>
      <c r="W26" s="856">
        <f t="shared" si="1"/>
        <v>1286.1000000000001</v>
      </c>
      <c r="X26" s="857">
        <f>'Oct midyear adj_LA virtual'!E27</f>
        <v>0</v>
      </c>
      <c r="Y26" s="856">
        <f t="shared" si="13"/>
        <v>0</v>
      </c>
      <c r="Z26" s="857">
        <f>'Feb midyear adj_LA virtual '!E27</f>
        <v>1</v>
      </c>
      <c r="AA26" s="856">
        <f t="shared" si="14"/>
        <v>643.05000000000007</v>
      </c>
      <c r="AB26" s="856">
        <f t="shared" si="15"/>
        <v>643.05000000000007</v>
      </c>
      <c r="AC26" s="856">
        <f t="shared" si="16"/>
        <v>1929.15</v>
      </c>
      <c r="AD26" s="856">
        <f t="shared" si="17"/>
        <v>-5</v>
      </c>
      <c r="AE26" s="856">
        <f t="shared" si="18"/>
        <v>1924.15</v>
      </c>
      <c r="AF26" s="855">
        <v>0</v>
      </c>
      <c r="AG26" s="858">
        <f t="shared" si="19"/>
        <v>1924.15</v>
      </c>
      <c r="AH26" s="858">
        <f>101*8</f>
        <v>808</v>
      </c>
      <c r="AI26" s="858">
        <f t="shared" si="20"/>
        <v>1116.1500000000001</v>
      </c>
      <c r="AJ26" s="858">
        <f t="shared" si="21"/>
        <v>279</v>
      </c>
      <c r="AK26" s="859">
        <f>AG26+R26</f>
        <v>10922.678038384754</v>
      </c>
      <c r="AL26" s="859">
        <f t="shared" si="23"/>
        <v>1529</v>
      </c>
      <c r="AM26" s="1517"/>
      <c r="AN26" s="1517"/>
      <c r="AO26" s="1517">
        <v>-3</v>
      </c>
      <c r="AP26" s="1517"/>
      <c r="AQ26" s="1521">
        <f t="shared" si="24"/>
        <v>-2</v>
      </c>
    </row>
    <row r="27" spans="1:43" s="795" customFormat="1" ht="17.25" customHeight="1">
      <c r="A27" s="836">
        <v>23</v>
      </c>
      <c r="B27" s="837" t="s">
        <v>199</v>
      </c>
      <c r="C27" s="849">
        <v>5</v>
      </c>
      <c r="D27" s="850">
        <f>'Table 3 Levels 1&amp;2'!AL30*90%</f>
        <v>4346.3787333311848</v>
      </c>
      <c r="E27" s="850">
        <f t="shared" si="2"/>
        <v>21731.893666655924</v>
      </c>
      <c r="F27" s="851">
        <f>'Table 4 Level 3'!P28*90%</f>
        <v>619.72200000000009</v>
      </c>
      <c r="G27" s="851">
        <f t="shared" si="3"/>
        <v>3098.6100000000006</v>
      </c>
      <c r="H27" s="851">
        <f t="shared" si="4"/>
        <v>24830.503666655924</v>
      </c>
      <c r="I27" s="851">
        <f>'Oct midyear adj_LA virtual'!K28</f>
        <v>9932.2014666623691</v>
      </c>
      <c r="J27" s="851">
        <f>'Feb midyear adj_LA virtual '!K28</f>
        <v>2483.0503666655923</v>
      </c>
      <c r="K27" s="851">
        <f t="shared" si="5"/>
        <v>12415.251833327962</v>
      </c>
      <c r="L27" s="851">
        <f t="shared" si="6"/>
        <v>37245.755499983883</v>
      </c>
      <c r="M27" s="851">
        <f t="shared" si="7"/>
        <v>-93</v>
      </c>
      <c r="N27" s="852">
        <f t="shared" si="8"/>
        <v>37152.755499983883</v>
      </c>
      <c r="O27" s="852">
        <v>0</v>
      </c>
      <c r="P27" s="853">
        <f t="shared" si="9"/>
        <v>37152.755499983883</v>
      </c>
      <c r="Q27" s="854"/>
      <c r="R27" s="853">
        <f t="shared" si="10"/>
        <v>37152.755499983883</v>
      </c>
      <c r="S27" s="853">
        <f>2064*8</f>
        <v>16512</v>
      </c>
      <c r="T27" s="853">
        <f t="shared" si="11"/>
        <v>20640.755499983883</v>
      </c>
      <c r="U27" s="853">
        <f t="shared" si="12"/>
        <v>5160</v>
      </c>
      <c r="V27" s="855">
        <f>'[11]FY2011-12_Final'!$K30*90%</f>
        <v>2762.1</v>
      </c>
      <c r="W27" s="856">
        <f t="shared" si="1"/>
        <v>13810.5</v>
      </c>
      <c r="X27" s="857">
        <f>'Oct midyear adj_LA virtual'!E28</f>
        <v>2</v>
      </c>
      <c r="Y27" s="856">
        <f t="shared" si="13"/>
        <v>5524.2</v>
      </c>
      <c r="Z27" s="857">
        <f>'Feb midyear adj_LA virtual '!E28</f>
        <v>1</v>
      </c>
      <c r="AA27" s="856">
        <f t="shared" si="14"/>
        <v>1381.05</v>
      </c>
      <c r="AB27" s="856">
        <f t="shared" si="15"/>
        <v>6905.25</v>
      </c>
      <c r="AC27" s="856">
        <f t="shared" si="16"/>
        <v>20715.75</v>
      </c>
      <c r="AD27" s="856">
        <f t="shared" si="17"/>
        <v>-52</v>
      </c>
      <c r="AE27" s="856">
        <f t="shared" si="18"/>
        <v>20663.75</v>
      </c>
      <c r="AF27" s="855">
        <v>0</v>
      </c>
      <c r="AG27" s="858">
        <f t="shared" si="19"/>
        <v>20663.75</v>
      </c>
      <c r="AH27" s="858">
        <f>1157*8</f>
        <v>9256</v>
      </c>
      <c r="AI27" s="858">
        <f t="shared" si="20"/>
        <v>11407.75</v>
      </c>
      <c r="AJ27" s="858">
        <f t="shared" si="21"/>
        <v>2852</v>
      </c>
      <c r="AK27" s="859">
        <f t="shared" ref="AK27:AK73" si="25">AG27+R27</f>
        <v>57816.505499983883</v>
      </c>
      <c r="AL27" s="859">
        <f t="shared" si="23"/>
        <v>8012</v>
      </c>
      <c r="AM27" s="1517"/>
      <c r="AN27" s="1517"/>
      <c r="AO27" s="1517">
        <v>-35</v>
      </c>
      <c r="AP27" s="1517"/>
      <c r="AQ27" s="1521">
        <f t="shared" si="24"/>
        <v>-17</v>
      </c>
    </row>
    <row r="28" spans="1:43" s="795" customFormat="1" ht="17.25" customHeight="1">
      <c r="A28" s="836">
        <v>24</v>
      </c>
      <c r="B28" s="837" t="s">
        <v>200</v>
      </c>
      <c r="C28" s="849">
        <v>2</v>
      </c>
      <c r="D28" s="850">
        <f>'Table 3 Levels 1&amp;2'!AL31*90%</f>
        <v>2245.1024261844818</v>
      </c>
      <c r="E28" s="850">
        <f t="shared" si="2"/>
        <v>4490.2048523689637</v>
      </c>
      <c r="F28" s="851">
        <f>'Table 4 Level 3'!P29*90%</f>
        <v>768.82499999999993</v>
      </c>
      <c r="G28" s="851">
        <f t="shared" si="3"/>
        <v>1537.6499999999999</v>
      </c>
      <c r="H28" s="851">
        <f t="shared" si="4"/>
        <v>6027.8548523689633</v>
      </c>
      <c r="I28" s="851">
        <f>'Oct midyear adj_LA virtual'!K29</f>
        <v>9041.7822785534445</v>
      </c>
      <c r="J28" s="851">
        <f>'Feb midyear adj_LA virtual '!K29</f>
        <v>9041.7822785534445</v>
      </c>
      <c r="K28" s="851">
        <f t="shared" si="5"/>
        <v>18083.564557106889</v>
      </c>
      <c r="L28" s="851">
        <f t="shared" si="6"/>
        <v>24111.419409475853</v>
      </c>
      <c r="M28" s="851">
        <f t="shared" si="7"/>
        <v>-60</v>
      </c>
      <c r="N28" s="852">
        <f t="shared" si="8"/>
        <v>24051.419409475853</v>
      </c>
      <c r="O28" s="852">
        <v>0</v>
      </c>
      <c r="P28" s="853">
        <f t="shared" si="9"/>
        <v>24051.419409475853</v>
      </c>
      <c r="Q28" s="854"/>
      <c r="R28" s="853">
        <f t="shared" si="10"/>
        <v>24051.419409475853</v>
      </c>
      <c r="S28" s="853">
        <f>501*8</f>
        <v>4008</v>
      </c>
      <c r="T28" s="853">
        <f t="shared" si="11"/>
        <v>20043.419409475853</v>
      </c>
      <c r="U28" s="853">
        <f t="shared" si="12"/>
        <v>5011</v>
      </c>
      <c r="V28" s="855">
        <f>'[11]FY2011-12_Final'!$K31*90%</f>
        <v>8393.4</v>
      </c>
      <c r="W28" s="856">
        <f t="shared" si="1"/>
        <v>16786.8</v>
      </c>
      <c r="X28" s="857">
        <f>'Oct midyear adj_LA virtual'!E29</f>
        <v>3</v>
      </c>
      <c r="Y28" s="856">
        <f t="shared" si="13"/>
        <v>25180.199999999997</v>
      </c>
      <c r="Z28" s="857">
        <f>'Feb midyear adj_LA virtual '!E29</f>
        <v>6</v>
      </c>
      <c r="AA28" s="856">
        <f t="shared" si="14"/>
        <v>25180.199999999997</v>
      </c>
      <c r="AB28" s="856">
        <f t="shared" si="15"/>
        <v>50360.399999999994</v>
      </c>
      <c r="AC28" s="856">
        <f t="shared" si="16"/>
        <v>67147.199999999997</v>
      </c>
      <c r="AD28" s="856">
        <f t="shared" si="17"/>
        <v>-168</v>
      </c>
      <c r="AE28" s="856">
        <f t="shared" si="18"/>
        <v>66979.199999999997</v>
      </c>
      <c r="AF28" s="855">
        <v>0</v>
      </c>
      <c r="AG28" s="858">
        <f t="shared" si="19"/>
        <v>66979.199999999997</v>
      </c>
      <c r="AH28" s="858">
        <f>1288*8</f>
        <v>10304</v>
      </c>
      <c r="AI28" s="858">
        <f t="shared" si="20"/>
        <v>56675.199999999997</v>
      </c>
      <c r="AJ28" s="858">
        <f t="shared" si="21"/>
        <v>14169</v>
      </c>
      <c r="AK28" s="859">
        <f t="shared" si="25"/>
        <v>91030.619409475854</v>
      </c>
      <c r="AL28" s="859">
        <f t="shared" si="23"/>
        <v>19180</v>
      </c>
      <c r="AM28" s="1517"/>
      <c r="AN28" s="1517"/>
      <c r="AO28" s="1517">
        <v>-39</v>
      </c>
      <c r="AP28" s="1517"/>
      <c r="AQ28" s="1521">
        <f t="shared" si="24"/>
        <v>-129</v>
      </c>
    </row>
    <row r="29" spans="1:43" s="795" customFormat="1" ht="17.25" customHeight="1">
      <c r="A29" s="860">
        <v>25</v>
      </c>
      <c r="B29" s="861" t="s">
        <v>201</v>
      </c>
      <c r="C29" s="862">
        <v>4</v>
      </c>
      <c r="D29" s="863">
        <f>'Table 3 Levels 1&amp;2'!AL32*90%</f>
        <v>3300.5809626555911</v>
      </c>
      <c r="E29" s="863">
        <f t="shared" si="2"/>
        <v>13202.323850622364</v>
      </c>
      <c r="F29" s="864">
        <f>'Table 4 Level 3'!P30*90%</f>
        <v>588.35700000000008</v>
      </c>
      <c r="G29" s="864">
        <f t="shared" si="3"/>
        <v>2353.4280000000003</v>
      </c>
      <c r="H29" s="864">
        <f t="shared" si="4"/>
        <v>15555.751850622364</v>
      </c>
      <c r="I29" s="864">
        <f>'Oct midyear adj_LA virtual'!K30</f>
        <v>31111.503701244728</v>
      </c>
      <c r="J29" s="864">
        <f>'Feb midyear adj_LA virtual '!K30</f>
        <v>-17500.220831950159</v>
      </c>
      <c r="K29" s="864">
        <f t="shared" si="5"/>
        <v>13611.28286929457</v>
      </c>
      <c r="L29" s="864">
        <f t="shared" si="6"/>
        <v>29167.034719916934</v>
      </c>
      <c r="M29" s="864">
        <f t="shared" si="7"/>
        <v>-73</v>
      </c>
      <c r="N29" s="865">
        <f t="shared" si="8"/>
        <v>29094.034719916934</v>
      </c>
      <c r="O29" s="865">
        <v>0</v>
      </c>
      <c r="P29" s="866">
        <f t="shared" si="9"/>
        <v>29094.034719916934</v>
      </c>
      <c r="Q29" s="867"/>
      <c r="R29" s="866">
        <f t="shared" si="10"/>
        <v>29094.034719916934</v>
      </c>
      <c r="S29" s="866">
        <f>1293*8</f>
        <v>10344</v>
      </c>
      <c r="T29" s="866">
        <f t="shared" si="11"/>
        <v>18750.034719916934</v>
      </c>
      <c r="U29" s="866">
        <f t="shared" si="12"/>
        <v>4688</v>
      </c>
      <c r="V29" s="868">
        <f>'[11]FY2011-12_Final'!$K32*90%</f>
        <v>4531.5</v>
      </c>
      <c r="W29" s="869">
        <f t="shared" si="1"/>
        <v>18126</v>
      </c>
      <c r="X29" s="870">
        <f>'Oct midyear adj_LA virtual'!E30</f>
        <v>8</v>
      </c>
      <c r="Y29" s="869">
        <f t="shared" si="13"/>
        <v>36252</v>
      </c>
      <c r="Z29" s="870">
        <f>'Feb midyear adj_LA virtual '!E30</f>
        <v>-9</v>
      </c>
      <c r="AA29" s="869">
        <f t="shared" si="14"/>
        <v>-20391.75</v>
      </c>
      <c r="AB29" s="869">
        <f t="shared" si="15"/>
        <v>15860.25</v>
      </c>
      <c r="AC29" s="869">
        <f t="shared" si="16"/>
        <v>33986.25</v>
      </c>
      <c r="AD29" s="869">
        <f t="shared" si="17"/>
        <v>-85</v>
      </c>
      <c r="AE29" s="869">
        <f t="shared" si="18"/>
        <v>33901.25</v>
      </c>
      <c r="AF29" s="868">
        <v>0</v>
      </c>
      <c r="AG29" s="871">
        <f t="shared" si="19"/>
        <v>33901.25</v>
      </c>
      <c r="AH29" s="871">
        <f>2217*8</f>
        <v>17736</v>
      </c>
      <c r="AI29" s="871">
        <f t="shared" si="20"/>
        <v>16165.25</v>
      </c>
      <c r="AJ29" s="871">
        <f t="shared" si="21"/>
        <v>4041</v>
      </c>
      <c r="AK29" s="872">
        <f t="shared" si="25"/>
        <v>62995.284719916934</v>
      </c>
      <c r="AL29" s="872">
        <f t="shared" si="23"/>
        <v>8729</v>
      </c>
      <c r="AM29" s="1517"/>
      <c r="AN29" s="1517"/>
      <c r="AO29" s="1517">
        <v>-67</v>
      </c>
      <c r="AP29" s="1517"/>
      <c r="AQ29" s="1521">
        <f t="shared" si="24"/>
        <v>-18</v>
      </c>
    </row>
    <row r="30" spans="1:43" s="795" customFormat="1" ht="17.25" customHeight="1">
      <c r="A30" s="836">
        <v>26</v>
      </c>
      <c r="B30" s="837" t="s">
        <v>202</v>
      </c>
      <c r="C30" s="838">
        <v>94</v>
      </c>
      <c r="D30" s="839">
        <f>'Table 3 Levels 1&amp;2'!AL33*90%</f>
        <v>2835.3131108817151</v>
      </c>
      <c r="E30" s="839">
        <f t="shared" si="2"/>
        <v>266519.43242288125</v>
      </c>
      <c r="F30" s="840">
        <f>'Table 4 Level 3'!P31*90%</f>
        <v>753.14700000000005</v>
      </c>
      <c r="G30" s="840">
        <f t="shared" si="3"/>
        <v>70795.817999999999</v>
      </c>
      <c r="H30" s="840">
        <f t="shared" si="4"/>
        <v>337315.25042288122</v>
      </c>
      <c r="I30" s="840">
        <f>'Oct midyear adj_LA virtual'!K31</f>
        <v>-17942.300554408575</v>
      </c>
      <c r="J30" s="840">
        <f>'Feb midyear adj_LA virtual '!K31</f>
        <v>0</v>
      </c>
      <c r="K30" s="840">
        <f t="shared" si="5"/>
        <v>-17942.300554408575</v>
      </c>
      <c r="L30" s="840">
        <f t="shared" si="6"/>
        <v>319372.94986847264</v>
      </c>
      <c r="M30" s="840">
        <f t="shared" si="7"/>
        <v>-798</v>
      </c>
      <c r="N30" s="841">
        <f t="shared" si="8"/>
        <v>318574.94986847264</v>
      </c>
      <c r="O30" s="841">
        <v>0</v>
      </c>
      <c r="P30" s="842">
        <f t="shared" si="9"/>
        <v>318574.94986847264</v>
      </c>
      <c r="Q30" s="843"/>
      <c r="R30" s="842">
        <f t="shared" si="10"/>
        <v>318574.94986847264</v>
      </c>
      <c r="S30" s="842">
        <f>28039*8</f>
        <v>224312</v>
      </c>
      <c r="T30" s="842">
        <f t="shared" si="11"/>
        <v>94262.949868472642</v>
      </c>
      <c r="U30" s="842">
        <f t="shared" si="12"/>
        <v>23566</v>
      </c>
      <c r="V30" s="844">
        <f>'[11]FY2011-12_Final'!$K33*90%</f>
        <v>4732.2</v>
      </c>
      <c r="W30" s="845">
        <f t="shared" si="1"/>
        <v>444826.8</v>
      </c>
      <c r="X30" s="846">
        <f>'Oct midyear adj_LA virtual'!E31</f>
        <v>-5</v>
      </c>
      <c r="Y30" s="845">
        <f t="shared" si="13"/>
        <v>-23661</v>
      </c>
      <c r="Z30" s="846">
        <f>'Feb midyear adj_LA virtual '!E31</f>
        <v>0</v>
      </c>
      <c r="AA30" s="845">
        <f t="shared" si="14"/>
        <v>0</v>
      </c>
      <c r="AB30" s="845">
        <f t="shared" si="15"/>
        <v>-23661</v>
      </c>
      <c r="AC30" s="845">
        <f t="shared" si="16"/>
        <v>421165.8</v>
      </c>
      <c r="AD30" s="845">
        <f t="shared" si="17"/>
        <v>-1053</v>
      </c>
      <c r="AE30" s="845">
        <f t="shared" si="18"/>
        <v>420112.8</v>
      </c>
      <c r="AF30" s="844">
        <v>0</v>
      </c>
      <c r="AG30" s="847">
        <f t="shared" si="19"/>
        <v>420112.8</v>
      </c>
      <c r="AH30" s="847">
        <f>37398*8</f>
        <v>299184</v>
      </c>
      <c r="AI30" s="847">
        <f t="shared" si="20"/>
        <v>120928.79999999999</v>
      </c>
      <c r="AJ30" s="847">
        <f t="shared" si="21"/>
        <v>30232</v>
      </c>
      <c r="AK30" s="848">
        <f t="shared" si="25"/>
        <v>738687.74986847257</v>
      </c>
      <c r="AL30" s="848">
        <f t="shared" si="23"/>
        <v>53798</v>
      </c>
      <c r="AM30" s="1517"/>
      <c r="AN30" s="1517"/>
      <c r="AO30" s="1517">
        <v>-1125</v>
      </c>
      <c r="AP30" s="1517"/>
      <c r="AQ30" s="1521">
        <f t="shared" si="24"/>
        <v>72</v>
      </c>
    </row>
    <row r="31" spans="1:43" s="795" customFormat="1" ht="17.25" customHeight="1">
      <c r="A31" s="836">
        <v>27</v>
      </c>
      <c r="B31" s="837" t="s">
        <v>203</v>
      </c>
      <c r="C31" s="849">
        <v>9</v>
      </c>
      <c r="D31" s="850">
        <f>'Table 3 Levels 1&amp;2'!AL34*90%</f>
        <v>5143.5016903089836</v>
      </c>
      <c r="E31" s="850">
        <f t="shared" si="2"/>
        <v>46291.515212780854</v>
      </c>
      <c r="F31" s="851">
        <f>'Table 4 Level 3'!P32*90%</f>
        <v>623.75400000000002</v>
      </c>
      <c r="G31" s="851">
        <f t="shared" si="3"/>
        <v>5613.7860000000001</v>
      </c>
      <c r="H31" s="851">
        <f t="shared" si="4"/>
        <v>51905.301212780854</v>
      </c>
      <c r="I31" s="851">
        <f>'Oct midyear adj_LA virtual'!K32</f>
        <v>-40370.789832162882</v>
      </c>
      <c r="J31" s="851">
        <f>'Feb midyear adj_LA virtual '!K32</f>
        <v>2883.6278451544918</v>
      </c>
      <c r="K31" s="851">
        <f t="shared" si="5"/>
        <v>-37487.161987008389</v>
      </c>
      <c r="L31" s="851">
        <f t="shared" si="6"/>
        <v>14418.139225772464</v>
      </c>
      <c r="M31" s="851">
        <f t="shared" si="7"/>
        <v>-36</v>
      </c>
      <c r="N31" s="852">
        <f t="shared" si="8"/>
        <v>14382.139225772464</v>
      </c>
      <c r="O31" s="852">
        <v>0</v>
      </c>
      <c r="P31" s="853">
        <f t="shared" si="9"/>
        <v>14382.139225772464</v>
      </c>
      <c r="Q31" s="854"/>
      <c r="R31" s="853">
        <f t="shared" si="10"/>
        <v>14382.139225772464</v>
      </c>
      <c r="S31" s="853">
        <f>4315*8</f>
        <v>34520</v>
      </c>
      <c r="T31" s="853">
        <f t="shared" si="11"/>
        <v>-20137.860774227534</v>
      </c>
      <c r="U31" s="853">
        <f t="shared" si="12"/>
        <v>-5034</v>
      </c>
      <c r="V31" s="855">
        <f>'[11]FY2011-12_Final'!$K34*90%</f>
        <v>2657.7000000000003</v>
      </c>
      <c r="W31" s="856">
        <f t="shared" si="1"/>
        <v>23919.300000000003</v>
      </c>
      <c r="X31" s="857">
        <f>'Oct midyear adj_LA virtual'!E32</f>
        <v>-7</v>
      </c>
      <c r="Y31" s="856">
        <f t="shared" si="13"/>
        <v>-18603.900000000001</v>
      </c>
      <c r="Z31" s="857">
        <f>'Feb midyear adj_LA virtual '!E32</f>
        <v>1</v>
      </c>
      <c r="AA31" s="856">
        <f t="shared" si="14"/>
        <v>1328.8500000000001</v>
      </c>
      <c r="AB31" s="856">
        <f t="shared" si="15"/>
        <v>-17275.050000000003</v>
      </c>
      <c r="AC31" s="856">
        <f t="shared" si="16"/>
        <v>6644.2500000000018</v>
      </c>
      <c r="AD31" s="856">
        <f t="shared" si="17"/>
        <v>-17</v>
      </c>
      <c r="AE31" s="856">
        <f t="shared" si="18"/>
        <v>6627.2500000000018</v>
      </c>
      <c r="AF31" s="855">
        <v>0</v>
      </c>
      <c r="AG31" s="858">
        <f t="shared" si="19"/>
        <v>6627.2500000000018</v>
      </c>
      <c r="AH31" s="858">
        <f>1907*8</f>
        <v>15256</v>
      </c>
      <c r="AI31" s="858">
        <f t="shared" si="20"/>
        <v>-8628.7499999999982</v>
      </c>
      <c r="AJ31" s="858">
        <f t="shared" si="21"/>
        <v>-2157</v>
      </c>
      <c r="AK31" s="859">
        <f t="shared" si="25"/>
        <v>21009.389225772466</v>
      </c>
      <c r="AL31" s="859">
        <f t="shared" si="23"/>
        <v>-7191</v>
      </c>
      <c r="AM31" s="1517"/>
      <c r="AN31" s="1517"/>
      <c r="AO31" s="1517">
        <v>-57</v>
      </c>
      <c r="AP31" s="1517"/>
      <c r="AQ31" s="1521">
        <f t="shared" si="24"/>
        <v>40</v>
      </c>
    </row>
    <row r="32" spans="1:43" s="795" customFormat="1" ht="17.25" customHeight="1">
      <c r="A32" s="836">
        <v>28</v>
      </c>
      <c r="B32" s="837" t="s">
        <v>204</v>
      </c>
      <c r="C32" s="849">
        <v>41</v>
      </c>
      <c r="D32" s="850">
        <f>'Table 3 Levels 1&amp;2'!AL35*90%</f>
        <v>3030.6109760091736</v>
      </c>
      <c r="E32" s="850">
        <f t="shared" si="2"/>
        <v>124255.05001637612</v>
      </c>
      <c r="F32" s="851">
        <f>'Table 4 Level 3'!P33*90%</f>
        <v>624.96</v>
      </c>
      <c r="G32" s="851">
        <f t="shared" si="3"/>
        <v>25623.360000000001</v>
      </c>
      <c r="H32" s="851">
        <f t="shared" si="4"/>
        <v>149878.41001637612</v>
      </c>
      <c r="I32" s="851">
        <f>'Oct midyear adj_LA virtual'!K33</f>
        <v>58489.135616146777</v>
      </c>
      <c r="J32" s="851">
        <f>'Feb midyear adj_LA virtual '!K33</f>
        <v>-9138.9274400229333</v>
      </c>
      <c r="K32" s="851">
        <f t="shared" si="5"/>
        <v>49350.208176123844</v>
      </c>
      <c r="L32" s="851">
        <f t="shared" si="6"/>
        <v>199228.61819249997</v>
      </c>
      <c r="M32" s="851">
        <f t="shared" si="7"/>
        <v>-498</v>
      </c>
      <c r="N32" s="852">
        <f t="shared" si="8"/>
        <v>198730.61819249997</v>
      </c>
      <c r="O32" s="852">
        <v>0</v>
      </c>
      <c r="P32" s="853">
        <f t="shared" si="9"/>
        <v>198730.61819249997</v>
      </c>
      <c r="Q32" s="854"/>
      <c r="R32" s="853">
        <f t="shared" si="10"/>
        <v>198730.61819249997</v>
      </c>
      <c r="S32" s="853">
        <f>12459*8</f>
        <v>99672</v>
      </c>
      <c r="T32" s="853">
        <f t="shared" si="11"/>
        <v>99058.618192499969</v>
      </c>
      <c r="U32" s="853">
        <f t="shared" si="12"/>
        <v>24765</v>
      </c>
      <c r="V32" s="855">
        <f>'[11]FY2011-12_Final'!$K35*90%</f>
        <v>4530.6000000000004</v>
      </c>
      <c r="W32" s="856">
        <f t="shared" si="1"/>
        <v>185754.6</v>
      </c>
      <c r="X32" s="857">
        <f>'Oct midyear adj_LA virtual'!E33</f>
        <v>16</v>
      </c>
      <c r="Y32" s="856">
        <f t="shared" si="13"/>
        <v>72489.600000000006</v>
      </c>
      <c r="Z32" s="857">
        <f>'Feb midyear adj_LA virtual '!E33</f>
        <v>-5</v>
      </c>
      <c r="AA32" s="856">
        <f t="shared" si="14"/>
        <v>-11326.5</v>
      </c>
      <c r="AB32" s="856">
        <f t="shared" si="15"/>
        <v>61163.100000000006</v>
      </c>
      <c r="AC32" s="856">
        <f t="shared" si="16"/>
        <v>246917.7</v>
      </c>
      <c r="AD32" s="856">
        <f t="shared" si="17"/>
        <v>-617</v>
      </c>
      <c r="AE32" s="856">
        <f t="shared" si="18"/>
        <v>246300.7</v>
      </c>
      <c r="AF32" s="855">
        <v>0</v>
      </c>
      <c r="AG32" s="858">
        <f t="shared" si="19"/>
        <v>246300.7</v>
      </c>
      <c r="AH32" s="858">
        <f>14889*8</f>
        <v>119112</v>
      </c>
      <c r="AI32" s="858">
        <f t="shared" si="20"/>
        <v>127188.70000000001</v>
      </c>
      <c r="AJ32" s="858">
        <f t="shared" si="21"/>
        <v>31797</v>
      </c>
      <c r="AK32" s="859">
        <f t="shared" si="25"/>
        <v>445031.31819249998</v>
      </c>
      <c r="AL32" s="859">
        <f t="shared" si="23"/>
        <v>56562</v>
      </c>
      <c r="AM32" s="1517"/>
      <c r="AN32" s="1517"/>
      <c r="AO32" s="1517">
        <v>-448</v>
      </c>
      <c r="AP32" s="1517"/>
      <c r="AQ32" s="1521">
        <f t="shared" si="24"/>
        <v>-169</v>
      </c>
    </row>
    <row r="33" spans="1:43" s="795" customFormat="1" ht="17.25" customHeight="1">
      <c r="A33" s="836">
        <v>29</v>
      </c>
      <c r="B33" s="837" t="s">
        <v>205</v>
      </c>
      <c r="C33" s="849">
        <v>15</v>
      </c>
      <c r="D33" s="850">
        <f>'Table 3 Levels 1&amp;2'!AL36*90%</f>
        <v>3779.8345012024251</v>
      </c>
      <c r="E33" s="850">
        <f t="shared" si="2"/>
        <v>56697.51751803638</v>
      </c>
      <c r="F33" s="851">
        <f>'Table 4 Level 3'!P34*90%</f>
        <v>679.45499999999993</v>
      </c>
      <c r="G33" s="851">
        <f t="shared" si="3"/>
        <v>10191.824999999999</v>
      </c>
      <c r="H33" s="851">
        <f t="shared" si="4"/>
        <v>66889.342518036385</v>
      </c>
      <c r="I33" s="851">
        <f>'Oct midyear adj_LA virtual'!K34</f>
        <v>26755.737007214553</v>
      </c>
      <c r="J33" s="851">
        <f>'Feb midyear adj_LA virtual '!K34</f>
        <v>-8918.5790024048511</v>
      </c>
      <c r="K33" s="851">
        <f t="shared" si="5"/>
        <v>17837.158004809702</v>
      </c>
      <c r="L33" s="851">
        <f t="shared" si="6"/>
        <v>84726.500522846094</v>
      </c>
      <c r="M33" s="851">
        <f t="shared" si="7"/>
        <v>-212</v>
      </c>
      <c r="N33" s="852">
        <f t="shared" si="8"/>
        <v>84514.500522846094</v>
      </c>
      <c r="O33" s="852">
        <v>0</v>
      </c>
      <c r="P33" s="853">
        <f t="shared" si="9"/>
        <v>84514.500522846094</v>
      </c>
      <c r="Q33" s="854"/>
      <c r="R33" s="853">
        <f t="shared" si="10"/>
        <v>84514.500522846094</v>
      </c>
      <c r="S33" s="853">
        <f>5560*8</f>
        <v>44480</v>
      </c>
      <c r="T33" s="853">
        <f t="shared" si="11"/>
        <v>40034.500522846094</v>
      </c>
      <c r="U33" s="853">
        <f t="shared" si="12"/>
        <v>10009</v>
      </c>
      <c r="V33" s="855">
        <f>'[11]FY2011-12_Final'!$K36*90%</f>
        <v>3969</v>
      </c>
      <c r="W33" s="856">
        <f t="shared" si="1"/>
        <v>59535</v>
      </c>
      <c r="X33" s="857">
        <f>'Oct midyear adj_LA virtual'!E34</f>
        <v>6</v>
      </c>
      <c r="Y33" s="856">
        <f t="shared" si="13"/>
        <v>23814</v>
      </c>
      <c r="Z33" s="857">
        <f>'Feb midyear adj_LA virtual '!E34</f>
        <v>-4</v>
      </c>
      <c r="AA33" s="856">
        <f t="shared" si="14"/>
        <v>-7938</v>
      </c>
      <c r="AB33" s="856">
        <f t="shared" si="15"/>
        <v>15876</v>
      </c>
      <c r="AC33" s="856">
        <f t="shared" si="16"/>
        <v>75411</v>
      </c>
      <c r="AD33" s="856">
        <f t="shared" si="17"/>
        <v>-189</v>
      </c>
      <c r="AE33" s="856">
        <f t="shared" si="18"/>
        <v>75222</v>
      </c>
      <c r="AF33" s="855">
        <v>0</v>
      </c>
      <c r="AG33" s="858">
        <f t="shared" si="19"/>
        <v>75222</v>
      </c>
      <c r="AH33" s="858">
        <f>5004*8</f>
        <v>40032</v>
      </c>
      <c r="AI33" s="858">
        <f t="shared" si="20"/>
        <v>35190</v>
      </c>
      <c r="AJ33" s="858">
        <f t="shared" si="21"/>
        <v>8798</v>
      </c>
      <c r="AK33" s="859">
        <f t="shared" si="25"/>
        <v>159736.50052284609</v>
      </c>
      <c r="AL33" s="859">
        <f t="shared" si="23"/>
        <v>18807</v>
      </c>
      <c r="AM33" s="1517"/>
      <c r="AN33" s="1517"/>
      <c r="AO33" s="1517">
        <v>-150</v>
      </c>
      <c r="AP33" s="1517"/>
      <c r="AQ33" s="1521">
        <f t="shared" si="24"/>
        <v>-39</v>
      </c>
    </row>
    <row r="34" spans="1:43" s="795" customFormat="1" ht="17.25" customHeight="1">
      <c r="A34" s="860">
        <v>30</v>
      </c>
      <c r="B34" s="861" t="s">
        <v>206</v>
      </c>
      <c r="C34" s="862">
        <v>4</v>
      </c>
      <c r="D34" s="863">
        <f>'Table 3 Levels 1&amp;2'!AL37*90%</f>
        <v>5203.3716856082956</v>
      </c>
      <c r="E34" s="863">
        <f t="shared" si="2"/>
        <v>20813.486742433182</v>
      </c>
      <c r="F34" s="864">
        <f>'Table 4 Level 3'!P35*90%</f>
        <v>654.45299999999997</v>
      </c>
      <c r="G34" s="864">
        <f t="shared" si="3"/>
        <v>2617.8119999999999</v>
      </c>
      <c r="H34" s="864">
        <f t="shared" si="4"/>
        <v>23431.29874243318</v>
      </c>
      <c r="I34" s="864">
        <f>'Oct midyear adj_LA virtual'!K35</f>
        <v>-5857.8246856082951</v>
      </c>
      <c r="J34" s="864">
        <f>'Feb midyear adj_LA virtual '!K35</f>
        <v>-5857.8246856082951</v>
      </c>
      <c r="K34" s="864">
        <f t="shared" si="5"/>
        <v>-11715.64937121659</v>
      </c>
      <c r="L34" s="864">
        <f t="shared" si="6"/>
        <v>11715.64937121659</v>
      </c>
      <c r="M34" s="864">
        <f t="shared" si="7"/>
        <v>-29</v>
      </c>
      <c r="N34" s="865">
        <f t="shared" si="8"/>
        <v>11686.64937121659</v>
      </c>
      <c r="O34" s="865">
        <v>0</v>
      </c>
      <c r="P34" s="866">
        <f t="shared" si="9"/>
        <v>11686.64937121659</v>
      </c>
      <c r="Q34" s="867"/>
      <c r="R34" s="866">
        <f t="shared" si="10"/>
        <v>11686.64937121659</v>
      </c>
      <c r="S34" s="866">
        <f>1948*8</f>
        <v>15584</v>
      </c>
      <c r="T34" s="866">
        <f t="shared" si="11"/>
        <v>-3897.3506287834098</v>
      </c>
      <c r="U34" s="866">
        <f t="shared" si="12"/>
        <v>-974</v>
      </c>
      <c r="V34" s="868">
        <f>'[11]FY2011-12_Final'!$K37*90%</f>
        <v>3183.3</v>
      </c>
      <c r="W34" s="869">
        <f t="shared" si="1"/>
        <v>12733.2</v>
      </c>
      <c r="X34" s="870">
        <f>'Oct midyear adj_LA virtual'!E35</f>
        <v>-1</v>
      </c>
      <c r="Y34" s="869">
        <f t="shared" si="13"/>
        <v>-3183.3</v>
      </c>
      <c r="Z34" s="870">
        <f>'Feb midyear adj_LA virtual '!E35</f>
        <v>-2</v>
      </c>
      <c r="AA34" s="869">
        <f t="shared" si="14"/>
        <v>-3183.3</v>
      </c>
      <c r="AB34" s="869">
        <f t="shared" si="15"/>
        <v>-6366.6</v>
      </c>
      <c r="AC34" s="869">
        <f t="shared" si="16"/>
        <v>6366.6000000000013</v>
      </c>
      <c r="AD34" s="869">
        <f t="shared" si="17"/>
        <v>-16</v>
      </c>
      <c r="AE34" s="869">
        <f t="shared" si="18"/>
        <v>6350.6000000000013</v>
      </c>
      <c r="AF34" s="868">
        <v>0</v>
      </c>
      <c r="AG34" s="871">
        <f t="shared" si="19"/>
        <v>6350.6000000000013</v>
      </c>
      <c r="AH34" s="871">
        <f>984*8</f>
        <v>7872</v>
      </c>
      <c r="AI34" s="871">
        <f t="shared" si="20"/>
        <v>-1521.3999999999987</v>
      </c>
      <c r="AJ34" s="871">
        <f t="shared" si="21"/>
        <v>-380</v>
      </c>
      <c r="AK34" s="872">
        <f t="shared" si="25"/>
        <v>18037.249371216592</v>
      </c>
      <c r="AL34" s="872">
        <f t="shared" si="23"/>
        <v>-1354</v>
      </c>
      <c r="AM34" s="1517"/>
      <c r="AN34" s="1517"/>
      <c r="AO34" s="1517">
        <v>-30</v>
      </c>
      <c r="AP34" s="1517"/>
      <c r="AQ34" s="1521">
        <f t="shared" si="24"/>
        <v>14</v>
      </c>
    </row>
    <row r="35" spans="1:43" s="795" customFormat="1" ht="17.25" customHeight="1">
      <c r="A35" s="836">
        <v>31</v>
      </c>
      <c r="B35" s="837" t="s">
        <v>207</v>
      </c>
      <c r="C35" s="838">
        <v>4</v>
      </c>
      <c r="D35" s="839">
        <f>'Table 3 Levels 1&amp;2'!AL38*90%</f>
        <v>3809.5955572598205</v>
      </c>
      <c r="E35" s="839">
        <f t="shared" si="2"/>
        <v>15238.382229039282</v>
      </c>
      <c r="F35" s="840">
        <f>'Table 4 Level 3'!P36*90%</f>
        <v>558.74700000000007</v>
      </c>
      <c r="G35" s="840">
        <f t="shared" si="3"/>
        <v>2234.9880000000003</v>
      </c>
      <c r="H35" s="840">
        <f t="shared" si="4"/>
        <v>17473.370229039283</v>
      </c>
      <c r="I35" s="840">
        <f>'Oct midyear adj_LA virtual'!K36</f>
        <v>0</v>
      </c>
      <c r="J35" s="840">
        <f>'Feb midyear adj_LA virtual '!K36</f>
        <v>2184.1712786299104</v>
      </c>
      <c r="K35" s="840">
        <f t="shared" si="5"/>
        <v>2184.1712786299104</v>
      </c>
      <c r="L35" s="840">
        <f t="shared" si="6"/>
        <v>19657.541507669193</v>
      </c>
      <c r="M35" s="840">
        <f t="shared" si="7"/>
        <v>-49</v>
      </c>
      <c r="N35" s="841">
        <f t="shared" si="8"/>
        <v>19608.541507669193</v>
      </c>
      <c r="O35" s="841">
        <v>0</v>
      </c>
      <c r="P35" s="842">
        <f t="shared" si="9"/>
        <v>19608.541507669193</v>
      </c>
      <c r="Q35" s="843"/>
      <c r="R35" s="842">
        <f t="shared" si="10"/>
        <v>19608.541507669193</v>
      </c>
      <c r="S35" s="842">
        <f>1452*8</f>
        <v>11616</v>
      </c>
      <c r="T35" s="842">
        <f t="shared" si="11"/>
        <v>7992.5415076691934</v>
      </c>
      <c r="U35" s="842">
        <f t="shared" si="12"/>
        <v>1998</v>
      </c>
      <c r="V35" s="844">
        <f>'[11]FY2011-12_Final'!$K38*90%</f>
        <v>4209.3</v>
      </c>
      <c r="W35" s="845">
        <f t="shared" si="1"/>
        <v>16837.2</v>
      </c>
      <c r="X35" s="846">
        <f>'Oct midyear adj_LA virtual'!E36</f>
        <v>0</v>
      </c>
      <c r="Y35" s="845">
        <f t="shared" si="13"/>
        <v>0</v>
      </c>
      <c r="Z35" s="846">
        <f>'Feb midyear adj_LA virtual '!E36</f>
        <v>1</v>
      </c>
      <c r="AA35" s="845">
        <f t="shared" si="14"/>
        <v>2104.65</v>
      </c>
      <c r="AB35" s="845">
        <f t="shared" si="15"/>
        <v>2104.65</v>
      </c>
      <c r="AC35" s="845">
        <f t="shared" si="16"/>
        <v>18941.850000000002</v>
      </c>
      <c r="AD35" s="845">
        <f t="shared" si="17"/>
        <v>-47</v>
      </c>
      <c r="AE35" s="845">
        <f t="shared" si="18"/>
        <v>18894.850000000002</v>
      </c>
      <c r="AF35" s="844">
        <v>0</v>
      </c>
      <c r="AG35" s="847">
        <f t="shared" si="19"/>
        <v>18894.850000000002</v>
      </c>
      <c r="AH35" s="847">
        <f>1364*8</f>
        <v>10912</v>
      </c>
      <c r="AI35" s="847">
        <f t="shared" si="20"/>
        <v>7982.8500000000022</v>
      </c>
      <c r="AJ35" s="847">
        <f t="shared" si="21"/>
        <v>1996</v>
      </c>
      <c r="AK35" s="848">
        <f t="shared" si="25"/>
        <v>38503.391507669192</v>
      </c>
      <c r="AL35" s="848">
        <f t="shared" si="23"/>
        <v>3994</v>
      </c>
      <c r="AM35" s="1517"/>
      <c r="AN35" s="1517"/>
      <c r="AO35" s="1517">
        <v>-41</v>
      </c>
      <c r="AP35" s="1517"/>
      <c r="AQ35" s="1521">
        <f t="shared" si="24"/>
        <v>-6</v>
      </c>
    </row>
    <row r="36" spans="1:43" s="795" customFormat="1" ht="17.25" customHeight="1">
      <c r="A36" s="836">
        <v>32</v>
      </c>
      <c r="B36" s="837" t="s">
        <v>208</v>
      </c>
      <c r="C36" s="849">
        <v>29</v>
      </c>
      <c r="D36" s="850">
        <f>'Table 3 Levels 1&amp;2'!AL39*90%</f>
        <v>4878.1056037962908</v>
      </c>
      <c r="E36" s="850">
        <f t="shared" si="2"/>
        <v>141465.06251009242</v>
      </c>
      <c r="F36" s="851">
        <f>'Table 4 Level 3'!P37*90%</f>
        <v>503.79300000000001</v>
      </c>
      <c r="G36" s="851">
        <f t="shared" si="3"/>
        <v>14609.996999999999</v>
      </c>
      <c r="H36" s="851">
        <f t="shared" si="4"/>
        <v>156075.05951009243</v>
      </c>
      <c r="I36" s="851">
        <f>'Oct midyear adj_LA virtual'!K37</f>
        <v>32291.391622777744</v>
      </c>
      <c r="J36" s="851">
        <f>'Feb midyear adj_LA virtual '!K37</f>
        <v>-5381.8986037962904</v>
      </c>
      <c r="K36" s="851">
        <f t="shared" si="5"/>
        <v>26909.493018981455</v>
      </c>
      <c r="L36" s="851">
        <f t="shared" si="6"/>
        <v>182984.55252907387</v>
      </c>
      <c r="M36" s="851">
        <f t="shared" si="7"/>
        <v>-457</v>
      </c>
      <c r="N36" s="852">
        <f t="shared" si="8"/>
        <v>182527.55252907387</v>
      </c>
      <c r="O36" s="852">
        <v>0</v>
      </c>
      <c r="P36" s="853">
        <f t="shared" si="9"/>
        <v>182527.55252907387</v>
      </c>
      <c r="Q36" s="854"/>
      <c r="R36" s="853">
        <f t="shared" si="10"/>
        <v>182527.55252907387</v>
      </c>
      <c r="S36" s="853">
        <f>12974*8</f>
        <v>103792</v>
      </c>
      <c r="T36" s="853">
        <f t="shared" si="11"/>
        <v>78735.552529073873</v>
      </c>
      <c r="U36" s="853">
        <f t="shared" si="12"/>
        <v>19684</v>
      </c>
      <c r="V36" s="855">
        <f>'[11]FY2011-12_Final'!$K39*90%</f>
        <v>1687.5</v>
      </c>
      <c r="W36" s="856">
        <f t="shared" si="1"/>
        <v>48937.5</v>
      </c>
      <c r="X36" s="857">
        <f>'Oct midyear adj_LA virtual'!E37</f>
        <v>6</v>
      </c>
      <c r="Y36" s="856">
        <f t="shared" si="13"/>
        <v>10125</v>
      </c>
      <c r="Z36" s="857">
        <f>'Feb midyear adj_LA virtual '!E37</f>
        <v>-2</v>
      </c>
      <c r="AA36" s="856">
        <f t="shared" si="14"/>
        <v>-1687.5</v>
      </c>
      <c r="AB36" s="856">
        <f t="shared" si="15"/>
        <v>8437.5</v>
      </c>
      <c r="AC36" s="856">
        <f t="shared" si="16"/>
        <v>57375</v>
      </c>
      <c r="AD36" s="856">
        <f t="shared" si="17"/>
        <v>-143</v>
      </c>
      <c r="AE36" s="856">
        <f t="shared" si="18"/>
        <v>57232</v>
      </c>
      <c r="AF36" s="855">
        <v>0</v>
      </c>
      <c r="AG36" s="858">
        <f t="shared" si="19"/>
        <v>57232</v>
      </c>
      <c r="AH36" s="858">
        <f>4113*8</f>
        <v>32904</v>
      </c>
      <c r="AI36" s="858">
        <f t="shared" si="20"/>
        <v>24328</v>
      </c>
      <c r="AJ36" s="858">
        <f t="shared" si="21"/>
        <v>6082</v>
      </c>
      <c r="AK36" s="859">
        <f t="shared" si="25"/>
        <v>239759.55252907387</v>
      </c>
      <c r="AL36" s="859">
        <f t="shared" si="23"/>
        <v>25766</v>
      </c>
      <c r="AM36" s="1517"/>
      <c r="AN36" s="1517"/>
      <c r="AO36" s="1517">
        <v>-124</v>
      </c>
      <c r="AP36" s="1517"/>
      <c r="AQ36" s="1521">
        <f t="shared" si="24"/>
        <v>-19</v>
      </c>
    </row>
    <row r="37" spans="1:43" s="795" customFormat="1" ht="17.25" customHeight="1">
      <c r="A37" s="836">
        <v>33</v>
      </c>
      <c r="B37" s="837" t="s">
        <v>209</v>
      </c>
      <c r="C37" s="849">
        <v>5</v>
      </c>
      <c r="D37" s="850">
        <f>'Table 3 Levels 1&amp;2'!AL40*90%</f>
        <v>5150.6824273781667</v>
      </c>
      <c r="E37" s="850">
        <f t="shared" si="2"/>
        <v>25753.412136890835</v>
      </c>
      <c r="F37" s="851">
        <f>'Table 4 Level 3'!P38*90%</f>
        <v>589.77900000000011</v>
      </c>
      <c r="G37" s="851">
        <f t="shared" si="3"/>
        <v>2948.8950000000004</v>
      </c>
      <c r="H37" s="851">
        <f t="shared" si="4"/>
        <v>28702.307136890835</v>
      </c>
      <c r="I37" s="851">
        <f>'Oct midyear adj_LA virtual'!K38</f>
        <v>-11480.922854756334</v>
      </c>
      <c r="J37" s="851">
        <f>'Feb midyear adj_LA virtual '!K38</f>
        <v>17221.384282134502</v>
      </c>
      <c r="K37" s="851">
        <f t="shared" si="5"/>
        <v>5740.4614273781681</v>
      </c>
      <c r="L37" s="851">
        <f t="shared" si="6"/>
        <v>34442.768564269005</v>
      </c>
      <c r="M37" s="851">
        <f t="shared" si="7"/>
        <v>-86</v>
      </c>
      <c r="N37" s="852">
        <f t="shared" si="8"/>
        <v>34356.768564269005</v>
      </c>
      <c r="O37" s="852">
        <v>0</v>
      </c>
      <c r="P37" s="853">
        <f t="shared" si="9"/>
        <v>34356.768564269005</v>
      </c>
      <c r="Q37" s="854"/>
      <c r="R37" s="853">
        <f t="shared" si="10"/>
        <v>34356.768564269005</v>
      </c>
      <c r="S37" s="853">
        <f>2386*8</f>
        <v>19088</v>
      </c>
      <c r="T37" s="853">
        <f t="shared" si="11"/>
        <v>15268.768564269005</v>
      </c>
      <c r="U37" s="853">
        <f t="shared" si="12"/>
        <v>3817</v>
      </c>
      <c r="V37" s="855">
        <f>'[11]FY2011-12_Final'!$K40*90%</f>
        <v>2740.5</v>
      </c>
      <c r="W37" s="856">
        <f t="shared" si="1"/>
        <v>13702.5</v>
      </c>
      <c r="X37" s="857">
        <f>'Oct midyear adj_LA virtual'!E38</f>
        <v>-2</v>
      </c>
      <c r="Y37" s="856">
        <f t="shared" si="13"/>
        <v>-5481</v>
      </c>
      <c r="Z37" s="857">
        <f>'Feb midyear adj_LA virtual '!E38</f>
        <v>6</v>
      </c>
      <c r="AA37" s="856">
        <f t="shared" si="14"/>
        <v>8221.5</v>
      </c>
      <c r="AB37" s="856">
        <f t="shared" si="15"/>
        <v>2740.5</v>
      </c>
      <c r="AC37" s="856">
        <f t="shared" si="16"/>
        <v>16443</v>
      </c>
      <c r="AD37" s="856">
        <f t="shared" si="17"/>
        <v>-41</v>
      </c>
      <c r="AE37" s="856">
        <f t="shared" si="18"/>
        <v>16402</v>
      </c>
      <c r="AF37" s="855">
        <v>0</v>
      </c>
      <c r="AG37" s="858">
        <f t="shared" si="19"/>
        <v>16402</v>
      </c>
      <c r="AH37" s="858">
        <f>1403*8</f>
        <v>11224</v>
      </c>
      <c r="AI37" s="858">
        <f t="shared" si="20"/>
        <v>5178</v>
      </c>
      <c r="AJ37" s="858">
        <f t="shared" si="21"/>
        <v>1295</v>
      </c>
      <c r="AK37" s="859">
        <f t="shared" si="25"/>
        <v>50758.768564269005</v>
      </c>
      <c r="AL37" s="859">
        <f t="shared" si="23"/>
        <v>5112</v>
      </c>
      <c r="AM37" s="1517"/>
      <c r="AN37" s="1517"/>
      <c r="AO37" s="1517">
        <v>-42</v>
      </c>
      <c r="AP37" s="1517"/>
      <c r="AQ37" s="1521">
        <f t="shared" si="24"/>
        <v>1</v>
      </c>
    </row>
    <row r="38" spans="1:43" s="795" customFormat="1" ht="17.25" customHeight="1">
      <c r="A38" s="836">
        <v>34</v>
      </c>
      <c r="B38" s="837" t="s">
        <v>210</v>
      </c>
      <c r="C38" s="849">
        <v>9</v>
      </c>
      <c r="D38" s="850">
        <f>'Table 3 Levels 1&amp;2'!AL41*90%</f>
        <v>5188.309170721649</v>
      </c>
      <c r="E38" s="850">
        <f t="shared" si="2"/>
        <v>46694.782536494844</v>
      </c>
      <c r="F38" s="851">
        <f>'Table 4 Level 3'!P39*90%</f>
        <v>579.69900000000018</v>
      </c>
      <c r="G38" s="851">
        <f t="shared" si="3"/>
        <v>5217.291000000002</v>
      </c>
      <c r="H38" s="851">
        <f t="shared" si="4"/>
        <v>51912.073536494849</v>
      </c>
      <c r="I38" s="851">
        <f>'Oct midyear adj_LA virtual'!K39</f>
        <v>34608.049024329899</v>
      </c>
      <c r="J38" s="851">
        <f>'Feb midyear adj_LA virtual '!K39</f>
        <v>-11536.016341443299</v>
      </c>
      <c r="K38" s="851">
        <f t="shared" si="5"/>
        <v>23072.032682886602</v>
      </c>
      <c r="L38" s="851">
        <f t="shared" si="6"/>
        <v>74984.106219381443</v>
      </c>
      <c r="M38" s="851">
        <f t="shared" si="7"/>
        <v>-187</v>
      </c>
      <c r="N38" s="852">
        <f t="shared" si="8"/>
        <v>74797.106219381443</v>
      </c>
      <c r="O38" s="852">
        <v>0</v>
      </c>
      <c r="P38" s="853">
        <f t="shared" si="9"/>
        <v>74797.106219381443</v>
      </c>
      <c r="Q38" s="854"/>
      <c r="R38" s="853">
        <f t="shared" si="10"/>
        <v>74797.106219381443</v>
      </c>
      <c r="S38" s="853">
        <f>4315*8</f>
        <v>34520</v>
      </c>
      <c r="T38" s="853">
        <f t="shared" si="11"/>
        <v>40277.106219381443</v>
      </c>
      <c r="U38" s="853">
        <f t="shared" si="12"/>
        <v>10069</v>
      </c>
      <c r="V38" s="855">
        <f>'[11]FY2011-12_Final'!$K41*90%</f>
        <v>2432.7000000000003</v>
      </c>
      <c r="W38" s="856">
        <f t="shared" si="1"/>
        <v>21894.300000000003</v>
      </c>
      <c r="X38" s="857">
        <f>'Oct midyear adj_LA virtual'!E39</f>
        <v>6</v>
      </c>
      <c r="Y38" s="856">
        <f t="shared" si="13"/>
        <v>14596.2</v>
      </c>
      <c r="Z38" s="857">
        <f>'Feb midyear adj_LA virtual '!E39</f>
        <v>-4</v>
      </c>
      <c r="AA38" s="856">
        <f t="shared" si="14"/>
        <v>-4865.4000000000005</v>
      </c>
      <c r="AB38" s="856">
        <f t="shared" si="15"/>
        <v>9730.7999999999993</v>
      </c>
      <c r="AC38" s="856">
        <f t="shared" si="16"/>
        <v>31625.1</v>
      </c>
      <c r="AD38" s="856">
        <f t="shared" si="17"/>
        <v>-79</v>
      </c>
      <c r="AE38" s="856">
        <f t="shared" si="18"/>
        <v>31546.1</v>
      </c>
      <c r="AF38" s="855">
        <v>0</v>
      </c>
      <c r="AG38" s="858">
        <f t="shared" si="19"/>
        <v>31546.1</v>
      </c>
      <c r="AH38" s="858">
        <f>1713*8</f>
        <v>13704</v>
      </c>
      <c r="AI38" s="858">
        <f t="shared" si="20"/>
        <v>17842.099999999999</v>
      </c>
      <c r="AJ38" s="858">
        <f t="shared" si="21"/>
        <v>4461</v>
      </c>
      <c r="AK38" s="859">
        <f t="shared" si="25"/>
        <v>106343.20621938145</v>
      </c>
      <c r="AL38" s="859">
        <f t="shared" si="23"/>
        <v>14530</v>
      </c>
      <c r="AM38" s="1517"/>
      <c r="AN38" s="1517"/>
      <c r="AO38" s="1517">
        <v>-52</v>
      </c>
      <c r="AP38" s="1517"/>
      <c r="AQ38" s="1521">
        <f t="shared" si="24"/>
        <v>-27</v>
      </c>
    </row>
    <row r="39" spans="1:43" s="795" customFormat="1" ht="17.25" customHeight="1">
      <c r="A39" s="860">
        <v>35</v>
      </c>
      <c r="B39" s="861" t="s">
        <v>211</v>
      </c>
      <c r="C39" s="862">
        <v>9</v>
      </c>
      <c r="D39" s="863">
        <f>'Table 3 Levels 1&amp;2'!AL42*90%</f>
        <v>4468.1274864201305</v>
      </c>
      <c r="E39" s="863">
        <f t="shared" si="2"/>
        <v>40213.147377781177</v>
      </c>
      <c r="F39" s="864">
        <f>'Table 4 Level 3'!P40*90%</f>
        <v>484.16400000000004</v>
      </c>
      <c r="G39" s="864">
        <f t="shared" si="3"/>
        <v>4357.4760000000006</v>
      </c>
      <c r="H39" s="864">
        <f t="shared" si="4"/>
        <v>44570.623377781179</v>
      </c>
      <c r="I39" s="864">
        <f>'Oct midyear adj_LA virtual'!K40</f>
        <v>9904.5829728402605</v>
      </c>
      <c r="J39" s="864">
        <f>'Feb midyear adj_LA virtual '!K40</f>
        <v>-7428.4372296301954</v>
      </c>
      <c r="K39" s="864">
        <f t="shared" si="5"/>
        <v>2476.1457432100651</v>
      </c>
      <c r="L39" s="864">
        <f t="shared" si="6"/>
        <v>47046.769120991245</v>
      </c>
      <c r="M39" s="864">
        <f t="shared" si="7"/>
        <v>-118</v>
      </c>
      <c r="N39" s="865">
        <f t="shared" si="8"/>
        <v>46928.769120991245</v>
      </c>
      <c r="O39" s="865">
        <v>0</v>
      </c>
      <c r="P39" s="866">
        <f t="shared" si="9"/>
        <v>46928.769120991245</v>
      </c>
      <c r="Q39" s="867"/>
      <c r="R39" s="866">
        <f t="shared" si="10"/>
        <v>46928.769120991245</v>
      </c>
      <c r="S39" s="866">
        <f>3705*8</f>
        <v>29640</v>
      </c>
      <c r="T39" s="866">
        <f t="shared" si="11"/>
        <v>17288.769120991245</v>
      </c>
      <c r="U39" s="866">
        <f t="shared" si="12"/>
        <v>4322</v>
      </c>
      <c r="V39" s="868">
        <f>'[11]FY2011-12_Final'!$K42*90%</f>
        <v>2833.2000000000003</v>
      </c>
      <c r="W39" s="869">
        <f t="shared" si="1"/>
        <v>25498.800000000003</v>
      </c>
      <c r="X39" s="870">
        <f>'Oct midyear adj_LA virtual'!E40</f>
        <v>2</v>
      </c>
      <c r="Y39" s="869">
        <f t="shared" si="13"/>
        <v>5666.4000000000005</v>
      </c>
      <c r="Z39" s="870">
        <f>'Feb midyear adj_LA virtual '!E40</f>
        <v>-3</v>
      </c>
      <c r="AA39" s="869">
        <f t="shared" si="14"/>
        <v>-4249.8</v>
      </c>
      <c r="AB39" s="869">
        <f t="shared" si="15"/>
        <v>1416.6000000000004</v>
      </c>
      <c r="AC39" s="869">
        <f t="shared" si="16"/>
        <v>26915.400000000005</v>
      </c>
      <c r="AD39" s="869">
        <f t="shared" si="17"/>
        <v>-67</v>
      </c>
      <c r="AE39" s="869">
        <f t="shared" si="18"/>
        <v>26848.400000000005</v>
      </c>
      <c r="AF39" s="868">
        <v>0</v>
      </c>
      <c r="AG39" s="871">
        <f t="shared" si="19"/>
        <v>26848.400000000005</v>
      </c>
      <c r="AH39" s="871">
        <f>1988*8</f>
        <v>15904</v>
      </c>
      <c r="AI39" s="871">
        <f t="shared" si="20"/>
        <v>10944.400000000005</v>
      </c>
      <c r="AJ39" s="871">
        <f t="shared" si="21"/>
        <v>2736</v>
      </c>
      <c r="AK39" s="872">
        <f t="shared" si="25"/>
        <v>73777.169120991253</v>
      </c>
      <c r="AL39" s="872">
        <f t="shared" si="23"/>
        <v>7058</v>
      </c>
      <c r="AM39" s="1517"/>
      <c r="AN39" s="1517"/>
      <c r="AO39" s="1517">
        <v>-60</v>
      </c>
      <c r="AP39" s="1517"/>
      <c r="AQ39" s="1521">
        <f t="shared" si="24"/>
        <v>-7</v>
      </c>
    </row>
    <row r="40" spans="1:43" s="795" customFormat="1" ht="17.25" customHeight="1">
      <c r="A40" s="836">
        <v>36</v>
      </c>
      <c r="B40" s="837" t="s">
        <v>74</v>
      </c>
      <c r="C40" s="838">
        <v>70</v>
      </c>
      <c r="D40" s="839">
        <f>'Table 3 Levels 1&amp;2'!AL43*90%</f>
        <v>2926.8243863744597</v>
      </c>
      <c r="E40" s="839">
        <f t="shared" si="2"/>
        <v>204877.70704621216</v>
      </c>
      <c r="F40" s="840">
        <f>'Table 5B1_RSD_Orleans'!F70*90%</f>
        <v>671.43020547945218</v>
      </c>
      <c r="G40" s="840">
        <f t="shared" si="3"/>
        <v>47000.114383561653</v>
      </c>
      <c r="H40" s="840">
        <f t="shared" si="4"/>
        <v>251877.82142977382</v>
      </c>
      <c r="I40" s="840">
        <f>'Oct midyear adj_LA virtual'!K41</f>
        <v>39580.800510393026</v>
      </c>
      <c r="J40" s="840">
        <f>'Feb midyear adj_LA virtual '!K41</f>
        <v>-1799.1272959269559</v>
      </c>
      <c r="K40" s="840">
        <f t="shared" si="5"/>
        <v>37781.673214466071</v>
      </c>
      <c r="L40" s="840">
        <f t="shared" si="6"/>
        <v>289659.49464423989</v>
      </c>
      <c r="M40" s="840">
        <f t="shared" si="7"/>
        <v>-724</v>
      </c>
      <c r="N40" s="841">
        <f t="shared" si="8"/>
        <v>288935.49464423989</v>
      </c>
      <c r="O40" s="841">
        <v>0</v>
      </c>
      <c r="P40" s="842">
        <f t="shared" si="9"/>
        <v>288935.49464423989</v>
      </c>
      <c r="Q40" s="843"/>
      <c r="R40" s="842">
        <f t="shared" si="10"/>
        <v>288935.49464423989</v>
      </c>
      <c r="S40" s="842">
        <f>20937*8</f>
        <v>167496</v>
      </c>
      <c r="T40" s="842">
        <f t="shared" si="11"/>
        <v>121439.49464423989</v>
      </c>
      <c r="U40" s="842">
        <f t="shared" si="12"/>
        <v>30360</v>
      </c>
      <c r="V40" s="844">
        <f>'[11]FY2011-12_Final'!$K43*90%</f>
        <v>4365.9000000000005</v>
      </c>
      <c r="W40" s="845">
        <f t="shared" si="1"/>
        <v>305613.00000000006</v>
      </c>
      <c r="X40" s="846">
        <f>'Oct midyear adj_LA virtual'!E41</f>
        <v>11</v>
      </c>
      <c r="Y40" s="845">
        <f t="shared" si="13"/>
        <v>48024.900000000009</v>
      </c>
      <c r="Z40" s="846">
        <f>'Feb midyear adj_LA virtual '!E41</f>
        <v>-1</v>
      </c>
      <c r="AA40" s="845">
        <f t="shared" si="14"/>
        <v>-2182.9500000000003</v>
      </c>
      <c r="AB40" s="845">
        <f t="shared" si="15"/>
        <v>45841.950000000012</v>
      </c>
      <c r="AC40" s="845">
        <f t="shared" si="16"/>
        <v>351454.95000000007</v>
      </c>
      <c r="AD40" s="845">
        <f t="shared" si="17"/>
        <v>-879</v>
      </c>
      <c r="AE40" s="845">
        <f t="shared" si="18"/>
        <v>350575.95000000007</v>
      </c>
      <c r="AF40" s="844">
        <v>0</v>
      </c>
      <c r="AG40" s="847">
        <f t="shared" si="19"/>
        <v>350575.95000000007</v>
      </c>
      <c r="AH40" s="847">
        <f>25446*8</f>
        <v>203568</v>
      </c>
      <c r="AI40" s="847">
        <f t="shared" si="20"/>
        <v>147007.95000000007</v>
      </c>
      <c r="AJ40" s="847">
        <f t="shared" si="21"/>
        <v>36752</v>
      </c>
      <c r="AK40" s="848">
        <f t="shared" si="25"/>
        <v>639511.44464423996</v>
      </c>
      <c r="AL40" s="848">
        <f t="shared" si="23"/>
        <v>67112</v>
      </c>
      <c r="AM40" s="1517"/>
      <c r="AN40" s="1517"/>
      <c r="AO40" s="1517">
        <v>-765</v>
      </c>
      <c r="AP40" s="1517"/>
      <c r="AQ40" s="1521">
        <f t="shared" si="24"/>
        <v>-114</v>
      </c>
    </row>
    <row r="41" spans="1:43" s="795" customFormat="1" ht="17.25" customHeight="1">
      <c r="A41" s="836">
        <v>37</v>
      </c>
      <c r="B41" s="837" t="s">
        <v>213</v>
      </c>
      <c r="C41" s="849">
        <v>23</v>
      </c>
      <c r="D41" s="850">
        <f>'Table 3 Levels 1&amp;2'!AL44*90%</f>
        <v>4924.8804762576674</v>
      </c>
      <c r="E41" s="850">
        <f t="shared" si="2"/>
        <v>113272.25095392636</v>
      </c>
      <c r="F41" s="851">
        <f>'Table 4 Level 3'!P42*90%</f>
        <v>588.24900000000002</v>
      </c>
      <c r="G41" s="851">
        <f t="shared" si="3"/>
        <v>13529.727000000001</v>
      </c>
      <c r="H41" s="851">
        <f t="shared" si="4"/>
        <v>126801.97795392635</v>
      </c>
      <c r="I41" s="851">
        <f>'Oct midyear adj_LA virtual'!K42</f>
        <v>-27565.647381288334</v>
      </c>
      <c r="J41" s="851">
        <f>'Feb midyear adj_LA virtual '!K42</f>
        <v>-2756.5647381288336</v>
      </c>
      <c r="K41" s="851">
        <f t="shared" si="5"/>
        <v>-30322.212119417167</v>
      </c>
      <c r="L41" s="851">
        <f t="shared" si="6"/>
        <v>96479.765834509191</v>
      </c>
      <c r="M41" s="851">
        <f t="shared" si="7"/>
        <v>-241</v>
      </c>
      <c r="N41" s="852">
        <f t="shared" si="8"/>
        <v>96238.765834509191</v>
      </c>
      <c r="O41" s="852">
        <v>0</v>
      </c>
      <c r="P41" s="853">
        <f t="shared" si="9"/>
        <v>96238.765834509191</v>
      </c>
      <c r="Q41" s="854"/>
      <c r="R41" s="853">
        <f t="shared" si="10"/>
        <v>96238.765834509191</v>
      </c>
      <c r="S41" s="853">
        <f>10540*8</f>
        <v>84320</v>
      </c>
      <c r="T41" s="853">
        <f t="shared" si="11"/>
        <v>11918.765834509191</v>
      </c>
      <c r="U41" s="853">
        <f t="shared" si="12"/>
        <v>2980</v>
      </c>
      <c r="V41" s="855">
        <f>'[11]FY2011-12_Final'!$K44*90%</f>
        <v>2727</v>
      </c>
      <c r="W41" s="856">
        <f t="shared" si="1"/>
        <v>62721</v>
      </c>
      <c r="X41" s="857">
        <f>'Oct midyear adj_LA virtual'!E42</f>
        <v>-5</v>
      </c>
      <c r="Y41" s="856">
        <f t="shared" si="13"/>
        <v>-13635</v>
      </c>
      <c r="Z41" s="857">
        <f>'Feb midyear adj_LA virtual '!E42</f>
        <v>-1</v>
      </c>
      <c r="AA41" s="856">
        <f t="shared" si="14"/>
        <v>-1363.5</v>
      </c>
      <c r="AB41" s="856">
        <f t="shared" si="15"/>
        <v>-14998.5</v>
      </c>
      <c r="AC41" s="856">
        <f t="shared" si="16"/>
        <v>47722.5</v>
      </c>
      <c r="AD41" s="856">
        <f t="shared" si="17"/>
        <v>-119</v>
      </c>
      <c r="AE41" s="856">
        <f t="shared" si="18"/>
        <v>47603.5</v>
      </c>
      <c r="AF41" s="855">
        <v>0</v>
      </c>
      <c r="AG41" s="858">
        <f t="shared" si="19"/>
        <v>47603.5</v>
      </c>
      <c r="AH41" s="858">
        <f>5239*8</f>
        <v>41912</v>
      </c>
      <c r="AI41" s="858">
        <f t="shared" si="20"/>
        <v>5691.5</v>
      </c>
      <c r="AJ41" s="858">
        <f t="shared" si="21"/>
        <v>1423</v>
      </c>
      <c r="AK41" s="859">
        <f t="shared" si="25"/>
        <v>143842.26583450919</v>
      </c>
      <c r="AL41" s="859">
        <f t="shared" si="23"/>
        <v>4403</v>
      </c>
      <c r="AM41" s="1517"/>
      <c r="AN41" s="1517"/>
      <c r="AO41" s="1517">
        <v>-158</v>
      </c>
      <c r="AP41" s="1517"/>
      <c r="AQ41" s="1521">
        <f t="shared" si="24"/>
        <v>39</v>
      </c>
    </row>
    <row r="42" spans="1:43" s="795" customFormat="1" ht="17.25" customHeight="1">
      <c r="A42" s="836">
        <v>38</v>
      </c>
      <c r="B42" s="837" t="s">
        <v>214</v>
      </c>
      <c r="C42" s="849">
        <v>5</v>
      </c>
      <c r="D42" s="850">
        <f>'Table 3 Levels 1&amp;2'!AL45*90%</f>
        <v>2156.9024476931331</v>
      </c>
      <c r="E42" s="850">
        <f t="shared" si="2"/>
        <v>10784.512238465666</v>
      </c>
      <c r="F42" s="851">
        <f>'Table 4 Level 3'!P43*90%</f>
        <v>746.92800000000011</v>
      </c>
      <c r="G42" s="851">
        <f t="shared" si="3"/>
        <v>3734.6400000000003</v>
      </c>
      <c r="H42" s="851">
        <f t="shared" si="4"/>
        <v>14519.152238465667</v>
      </c>
      <c r="I42" s="851">
        <f>'Oct midyear adj_LA virtual'!K43</f>
        <v>0</v>
      </c>
      <c r="J42" s="851">
        <f>'Feb midyear adj_LA virtual '!K43</f>
        <v>-1451.9152238465667</v>
      </c>
      <c r="K42" s="851">
        <f t="shared" si="5"/>
        <v>-1451.9152238465667</v>
      </c>
      <c r="L42" s="851">
        <f t="shared" si="6"/>
        <v>13067.237014619101</v>
      </c>
      <c r="M42" s="851">
        <f t="shared" si="7"/>
        <v>-33</v>
      </c>
      <c r="N42" s="852">
        <f t="shared" si="8"/>
        <v>13034.237014619101</v>
      </c>
      <c r="O42" s="852">
        <v>0</v>
      </c>
      <c r="P42" s="853">
        <f t="shared" si="9"/>
        <v>13034.237014619101</v>
      </c>
      <c r="Q42" s="854"/>
      <c r="R42" s="853">
        <f t="shared" si="10"/>
        <v>13034.237014619101</v>
      </c>
      <c r="S42" s="853">
        <f>1207*8</f>
        <v>9656</v>
      </c>
      <c r="T42" s="853">
        <f t="shared" si="11"/>
        <v>3378.2370146191006</v>
      </c>
      <c r="U42" s="853">
        <f t="shared" si="12"/>
        <v>845</v>
      </c>
      <c r="V42" s="855">
        <f>'[11]FY2011-12_Final'!$K45*90%</f>
        <v>10281.6</v>
      </c>
      <c r="W42" s="856">
        <f t="shared" si="1"/>
        <v>51408</v>
      </c>
      <c r="X42" s="857">
        <f>'Oct midyear adj_LA virtual'!E43</f>
        <v>0</v>
      </c>
      <c r="Y42" s="856">
        <f t="shared" si="13"/>
        <v>0</v>
      </c>
      <c r="Z42" s="857">
        <f>'Feb midyear adj_LA virtual '!E43</f>
        <v>-1</v>
      </c>
      <c r="AA42" s="856">
        <f t="shared" si="14"/>
        <v>-5140.8</v>
      </c>
      <c r="AB42" s="856">
        <f t="shared" si="15"/>
        <v>-5140.8</v>
      </c>
      <c r="AC42" s="856">
        <f t="shared" si="16"/>
        <v>46267.199999999997</v>
      </c>
      <c r="AD42" s="856">
        <f t="shared" si="17"/>
        <v>-116</v>
      </c>
      <c r="AE42" s="856">
        <f t="shared" si="18"/>
        <v>46151.199999999997</v>
      </c>
      <c r="AF42" s="855">
        <v>0</v>
      </c>
      <c r="AG42" s="858">
        <f t="shared" si="19"/>
        <v>46151.199999999997</v>
      </c>
      <c r="AH42" s="858">
        <f>4170*8</f>
        <v>33360</v>
      </c>
      <c r="AI42" s="858">
        <f t="shared" si="20"/>
        <v>12791.199999999997</v>
      </c>
      <c r="AJ42" s="858">
        <f t="shared" si="21"/>
        <v>3198</v>
      </c>
      <c r="AK42" s="859">
        <f t="shared" si="25"/>
        <v>59185.4370146191</v>
      </c>
      <c r="AL42" s="859">
        <f t="shared" si="23"/>
        <v>4043</v>
      </c>
      <c r="AM42" s="1517"/>
      <c r="AN42" s="1517"/>
      <c r="AO42" s="1517">
        <v>-125</v>
      </c>
      <c r="AP42" s="1517"/>
      <c r="AQ42" s="1521">
        <f t="shared" si="24"/>
        <v>9</v>
      </c>
    </row>
    <row r="43" spans="1:43" s="795" customFormat="1" ht="17.25" customHeight="1">
      <c r="A43" s="836">
        <v>39</v>
      </c>
      <c r="B43" s="837" t="s">
        <v>76</v>
      </c>
      <c r="C43" s="849">
        <v>4</v>
      </c>
      <c r="D43" s="850">
        <f>'Table 3 Levels 1&amp;2'!AL46*90%</f>
        <v>3271.7738389265178</v>
      </c>
      <c r="E43" s="850">
        <f t="shared" si="2"/>
        <v>13087.095355706071</v>
      </c>
      <c r="F43" s="851">
        <f>'Table 5B2_RSD_LA'!F21*90%</f>
        <v>701.69015738498797</v>
      </c>
      <c r="G43" s="851">
        <f t="shared" si="3"/>
        <v>2806.7606295399519</v>
      </c>
      <c r="H43" s="851">
        <f t="shared" si="4"/>
        <v>15893.855985246024</v>
      </c>
      <c r="I43" s="851">
        <f>'Oct midyear adj_LA virtual'!K44</f>
        <v>19867.319981557528</v>
      </c>
      <c r="J43" s="851">
        <f>'Feb midyear adj_LA virtual '!K44</f>
        <v>-1986.731998155753</v>
      </c>
      <c r="K43" s="851">
        <f t="shared" si="5"/>
        <v>17880.587983401776</v>
      </c>
      <c r="L43" s="851">
        <f t="shared" si="6"/>
        <v>33774.4439686478</v>
      </c>
      <c r="M43" s="851">
        <f t="shared" si="7"/>
        <v>-84</v>
      </c>
      <c r="N43" s="852">
        <f t="shared" si="8"/>
        <v>33690.4439686478</v>
      </c>
      <c r="O43" s="852">
        <v>0</v>
      </c>
      <c r="P43" s="853">
        <f t="shared" si="9"/>
        <v>33690.4439686478</v>
      </c>
      <c r="Q43" s="854"/>
      <c r="R43" s="853">
        <f t="shared" si="10"/>
        <v>33690.4439686478</v>
      </c>
      <c r="S43" s="853">
        <f>1321*8</f>
        <v>10568</v>
      </c>
      <c r="T43" s="853">
        <f t="shared" si="11"/>
        <v>23122.4439686478</v>
      </c>
      <c r="U43" s="853">
        <f t="shared" si="12"/>
        <v>5781</v>
      </c>
      <c r="V43" s="855">
        <f>'[11]FY2011-12_Final'!$K46*90%</f>
        <v>3580.2000000000003</v>
      </c>
      <c r="W43" s="856">
        <f t="shared" si="1"/>
        <v>14320.800000000001</v>
      </c>
      <c r="X43" s="857">
        <f>'Oct midyear adj_LA virtual'!E44</f>
        <v>5</v>
      </c>
      <c r="Y43" s="856">
        <f t="shared" si="13"/>
        <v>17901</v>
      </c>
      <c r="Z43" s="857">
        <f>'Feb midyear adj_LA virtual '!E44</f>
        <v>-1</v>
      </c>
      <c r="AA43" s="856">
        <f t="shared" si="14"/>
        <v>-1790.1000000000001</v>
      </c>
      <c r="AB43" s="856">
        <f t="shared" si="15"/>
        <v>16110.9</v>
      </c>
      <c r="AC43" s="856">
        <f t="shared" si="16"/>
        <v>30431.700000000004</v>
      </c>
      <c r="AD43" s="856">
        <f t="shared" si="17"/>
        <v>-76</v>
      </c>
      <c r="AE43" s="856">
        <f t="shared" si="18"/>
        <v>30355.700000000004</v>
      </c>
      <c r="AF43" s="855">
        <v>0</v>
      </c>
      <c r="AG43" s="858">
        <f t="shared" si="19"/>
        <v>30355.700000000004</v>
      </c>
      <c r="AH43" s="858">
        <f>1229*8</f>
        <v>9832</v>
      </c>
      <c r="AI43" s="858">
        <f t="shared" si="20"/>
        <v>20523.700000000004</v>
      </c>
      <c r="AJ43" s="858">
        <f t="shared" si="21"/>
        <v>5131</v>
      </c>
      <c r="AK43" s="859">
        <f t="shared" si="25"/>
        <v>64046.143968647804</v>
      </c>
      <c r="AL43" s="859">
        <f t="shared" si="23"/>
        <v>10912</v>
      </c>
      <c r="AM43" s="1517"/>
      <c r="AN43" s="1517"/>
      <c r="AO43" s="1517">
        <v>-37</v>
      </c>
      <c r="AP43" s="1517"/>
      <c r="AQ43" s="1521">
        <f t="shared" si="24"/>
        <v>-39</v>
      </c>
    </row>
    <row r="44" spans="1:43" s="795" customFormat="1" ht="17.25" customHeight="1">
      <c r="A44" s="860">
        <v>40</v>
      </c>
      <c r="B44" s="861" t="s">
        <v>215</v>
      </c>
      <c r="C44" s="862">
        <v>30</v>
      </c>
      <c r="D44" s="863">
        <f>'Table 3 Levels 1&amp;2'!AL47*90%</f>
        <v>4318.8915815212367</v>
      </c>
      <c r="E44" s="863">
        <f t="shared" si="2"/>
        <v>129566.7474456371</v>
      </c>
      <c r="F44" s="864">
        <f>'Table 4 Level 3'!P45*90%</f>
        <v>630.24300000000005</v>
      </c>
      <c r="G44" s="864">
        <f t="shared" si="3"/>
        <v>18907.29</v>
      </c>
      <c r="H44" s="864">
        <f t="shared" si="4"/>
        <v>148474.03744563711</v>
      </c>
      <c r="I44" s="864">
        <f>'Oct midyear adj_LA virtual'!K45</f>
        <v>4949.1345815212371</v>
      </c>
      <c r="J44" s="864">
        <f>'Feb midyear adj_LA virtual '!K45</f>
        <v>22271.105616845569</v>
      </c>
      <c r="K44" s="864">
        <f t="shared" si="5"/>
        <v>27220.240198366806</v>
      </c>
      <c r="L44" s="864">
        <f t="shared" si="6"/>
        <v>175694.27764400392</v>
      </c>
      <c r="M44" s="864">
        <f t="shared" si="7"/>
        <v>-439</v>
      </c>
      <c r="N44" s="865">
        <f t="shared" si="8"/>
        <v>175255.27764400392</v>
      </c>
      <c r="O44" s="865">
        <v>0</v>
      </c>
      <c r="P44" s="866">
        <f t="shared" si="9"/>
        <v>175255.27764400392</v>
      </c>
      <c r="Q44" s="867"/>
      <c r="R44" s="866">
        <f t="shared" si="10"/>
        <v>175255.27764400392</v>
      </c>
      <c r="S44" s="866">
        <f>12342*8</f>
        <v>98736</v>
      </c>
      <c r="T44" s="866">
        <f t="shared" si="11"/>
        <v>76519.277644003916</v>
      </c>
      <c r="U44" s="866">
        <f t="shared" si="12"/>
        <v>19130</v>
      </c>
      <c r="V44" s="868">
        <f>'[11]FY2011-12_Final'!$K47*90%</f>
        <v>2545.2000000000003</v>
      </c>
      <c r="W44" s="869">
        <f t="shared" si="1"/>
        <v>76356.000000000015</v>
      </c>
      <c r="X44" s="870">
        <f>'Oct midyear adj_LA virtual'!E45</f>
        <v>1</v>
      </c>
      <c r="Y44" s="869">
        <f t="shared" si="13"/>
        <v>2545.2000000000003</v>
      </c>
      <c r="Z44" s="870">
        <f>'Feb midyear adj_LA virtual '!E45</f>
        <v>9</v>
      </c>
      <c r="AA44" s="869">
        <f t="shared" si="14"/>
        <v>11453.400000000001</v>
      </c>
      <c r="AB44" s="869">
        <f t="shared" si="15"/>
        <v>13998.600000000002</v>
      </c>
      <c r="AC44" s="869">
        <f t="shared" si="16"/>
        <v>90354.6</v>
      </c>
      <c r="AD44" s="869">
        <f t="shared" si="17"/>
        <v>-226</v>
      </c>
      <c r="AE44" s="869">
        <f t="shared" si="18"/>
        <v>90128.6</v>
      </c>
      <c r="AF44" s="868">
        <v>0</v>
      </c>
      <c r="AG44" s="871">
        <f t="shared" si="19"/>
        <v>90128.6</v>
      </c>
      <c r="AH44" s="871">
        <f>6363*8</f>
        <v>50904</v>
      </c>
      <c r="AI44" s="871">
        <f t="shared" si="20"/>
        <v>39224.600000000006</v>
      </c>
      <c r="AJ44" s="871">
        <f t="shared" si="21"/>
        <v>9806</v>
      </c>
      <c r="AK44" s="872">
        <f t="shared" si="25"/>
        <v>265383.87764400395</v>
      </c>
      <c r="AL44" s="872">
        <f t="shared" si="23"/>
        <v>28936</v>
      </c>
      <c r="AM44" s="1517"/>
      <c r="AN44" s="1517"/>
      <c r="AO44" s="1517">
        <v>-191</v>
      </c>
      <c r="AP44" s="1517"/>
      <c r="AQ44" s="1521">
        <f t="shared" si="24"/>
        <v>-35</v>
      </c>
    </row>
    <row r="45" spans="1:43" s="795" customFormat="1" ht="17.25" customHeight="1">
      <c r="A45" s="836">
        <v>41</v>
      </c>
      <c r="B45" s="837" t="s">
        <v>216</v>
      </c>
      <c r="C45" s="838">
        <v>6</v>
      </c>
      <c r="D45" s="839">
        <f>'Table 3 Levels 1&amp;2'!AL48*90%</f>
        <v>2023.0154811715481</v>
      </c>
      <c r="E45" s="839">
        <f t="shared" si="2"/>
        <v>12138.092887029288</v>
      </c>
      <c r="F45" s="840">
        <f>'Table 4 Level 3'!P46*90%</f>
        <v>797.59800000000007</v>
      </c>
      <c r="G45" s="840">
        <f t="shared" si="3"/>
        <v>4785.5880000000006</v>
      </c>
      <c r="H45" s="840">
        <f t="shared" si="4"/>
        <v>16923.680887029288</v>
      </c>
      <c r="I45" s="840">
        <f>'Oct midyear adj_LA virtual'!K46</f>
        <v>-8461.840443514644</v>
      </c>
      <c r="J45" s="840">
        <f>'Feb midyear adj_LA virtual '!K46</f>
        <v>-1410.3067405857742</v>
      </c>
      <c r="K45" s="840">
        <f t="shared" si="5"/>
        <v>-9872.1471841004186</v>
      </c>
      <c r="L45" s="840">
        <f t="shared" si="6"/>
        <v>7051.5337029288694</v>
      </c>
      <c r="M45" s="840">
        <f t="shared" si="7"/>
        <v>-18</v>
      </c>
      <c r="N45" s="841">
        <f t="shared" si="8"/>
        <v>7033.5337029288694</v>
      </c>
      <c r="O45" s="841">
        <v>0</v>
      </c>
      <c r="P45" s="842">
        <f t="shared" si="9"/>
        <v>7033.5337029288694</v>
      </c>
      <c r="Q45" s="843"/>
      <c r="R45" s="842">
        <f t="shared" si="10"/>
        <v>7033.5337029288694</v>
      </c>
      <c r="S45" s="842">
        <f>1407*8</f>
        <v>11256</v>
      </c>
      <c r="T45" s="842">
        <f t="shared" si="11"/>
        <v>-4222.4662970711306</v>
      </c>
      <c r="U45" s="842">
        <f t="shared" si="12"/>
        <v>-1056</v>
      </c>
      <c r="V45" s="844">
        <f>'[11]FY2011-12_Final'!$K48*90%</f>
        <v>15565.5</v>
      </c>
      <c r="W45" s="845">
        <f t="shared" si="1"/>
        <v>93393</v>
      </c>
      <c r="X45" s="846">
        <f>'Oct midyear adj_LA virtual'!E46</f>
        <v>-3</v>
      </c>
      <c r="Y45" s="845">
        <f t="shared" si="13"/>
        <v>-46696.5</v>
      </c>
      <c r="Z45" s="846">
        <f>'Feb midyear adj_LA virtual '!E46</f>
        <v>-1</v>
      </c>
      <c r="AA45" s="845">
        <f t="shared" si="14"/>
        <v>-7782.75</v>
      </c>
      <c r="AB45" s="845">
        <f t="shared" si="15"/>
        <v>-54479.25</v>
      </c>
      <c r="AC45" s="845">
        <f t="shared" si="16"/>
        <v>38913.75</v>
      </c>
      <c r="AD45" s="845">
        <f t="shared" si="17"/>
        <v>-97</v>
      </c>
      <c r="AE45" s="845">
        <f t="shared" si="18"/>
        <v>38816.75</v>
      </c>
      <c r="AF45" s="844">
        <v>0</v>
      </c>
      <c r="AG45" s="847">
        <f t="shared" si="19"/>
        <v>38816.75</v>
      </c>
      <c r="AH45" s="847">
        <f>8160*8</f>
        <v>65280</v>
      </c>
      <c r="AI45" s="847">
        <f t="shared" si="20"/>
        <v>-26463.25</v>
      </c>
      <c r="AJ45" s="847">
        <f t="shared" si="21"/>
        <v>-6616</v>
      </c>
      <c r="AK45" s="848">
        <f t="shared" si="25"/>
        <v>45850.283702928871</v>
      </c>
      <c r="AL45" s="848">
        <f t="shared" si="23"/>
        <v>-7672</v>
      </c>
      <c r="AM45" s="1517"/>
      <c r="AN45" s="1517"/>
      <c r="AO45" s="1517">
        <v>-245</v>
      </c>
      <c r="AP45" s="1517"/>
      <c r="AQ45" s="1521">
        <f t="shared" si="24"/>
        <v>148</v>
      </c>
    </row>
    <row r="46" spans="1:43" s="795" customFormat="1" ht="17.25" customHeight="1">
      <c r="A46" s="836">
        <v>42</v>
      </c>
      <c r="B46" s="837" t="s">
        <v>217</v>
      </c>
      <c r="C46" s="849">
        <v>13</v>
      </c>
      <c r="D46" s="850">
        <f>'Table 3 Levels 1&amp;2'!AL49*90%</f>
        <v>4950.977089527617</v>
      </c>
      <c r="E46" s="850">
        <f t="shared" si="2"/>
        <v>64362.702163859023</v>
      </c>
      <c r="F46" s="851">
        <f>'Table 4 Level 3'!P47*90%</f>
        <v>480.85199999999998</v>
      </c>
      <c r="G46" s="851">
        <f t="shared" si="3"/>
        <v>6251.076</v>
      </c>
      <c r="H46" s="851">
        <f t="shared" si="4"/>
        <v>70613.778163859024</v>
      </c>
      <c r="I46" s="851">
        <f>'Oct midyear adj_LA virtual'!K47</f>
        <v>0</v>
      </c>
      <c r="J46" s="851">
        <f>'Feb midyear adj_LA virtual '!K47</f>
        <v>-5431.8290895276168</v>
      </c>
      <c r="K46" s="851">
        <f t="shared" si="5"/>
        <v>-5431.8290895276168</v>
      </c>
      <c r="L46" s="851">
        <f t="shared" si="6"/>
        <v>65181.949074331409</v>
      </c>
      <c r="M46" s="851">
        <f t="shared" si="7"/>
        <v>-163</v>
      </c>
      <c r="N46" s="852">
        <f t="shared" si="8"/>
        <v>65018.949074331409</v>
      </c>
      <c r="O46" s="852">
        <v>0</v>
      </c>
      <c r="P46" s="853">
        <f t="shared" si="9"/>
        <v>65018.949074331409</v>
      </c>
      <c r="Q46" s="854"/>
      <c r="R46" s="853">
        <f t="shared" si="10"/>
        <v>65018.949074331409</v>
      </c>
      <c r="S46" s="853">
        <f>5870*8</f>
        <v>46960</v>
      </c>
      <c r="T46" s="853">
        <f t="shared" si="11"/>
        <v>18058.949074331409</v>
      </c>
      <c r="U46" s="853">
        <f t="shared" si="12"/>
        <v>4515</v>
      </c>
      <c r="V46" s="855">
        <f>'[11]FY2011-12_Final'!$K49*90%</f>
        <v>2689.2000000000003</v>
      </c>
      <c r="W46" s="856">
        <f t="shared" si="1"/>
        <v>34959.600000000006</v>
      </c>
      <c r="X46" s="857">
        <f>'Oct midyear adj_LA virtual'!E47</f>
        <v>0</v>
      </c>
      <c r="Y46" s="856">
        <f t="shared" si="13"/>
        <v>0</v>
      </c>
      <c r="Z46" s="857">
        <f>'Feb midyear adj_LA virtual '!E47</f>
        <v>-2</v>
      </c>
      <c r="AA46" s="856">
        <f t="shared" si="14"/>
        <v>-2689.2000000000003</v>
      </c>
      <c r="AB46" s="856">
        <f t="shared" si="15"/>
        <v>-2689.2000000000003</v>
      </c>
      <c r="AC46" s="856">
        <f t="shared" si="16"/>
        <v>32270.400000000005</v>
      </c>
      <c r="AD46" s="856">
        <f t="shared" si="17"/>
        <v>-81</v>
      </c>
      <c r="AE46" s="856">
        <f t="shared" si="18"/>
        <v>32189.400000000005</v>
      </c>
      <c r="AF46" s="855">
        <v>0</v>
      </c>
      <c r="AG46" s="858">
        <f t="shared" si="19"/>
        <v>32189.400000000005</v>
      </c>
      <c r="AH46" s="858">
        <f>3103*8</f>
        <v>24824</v>
      </c>
      <c r="AI46" s="858">
        <f t="shared" si="20"/>
        <v>7365.4000000000051</v>
      </c>
      <c r="AJ46" s="858">
        <f t="shared" si="21"/>
        <v>1841</v>
      </c>
      <c r="AK46" s="859">
        <f t="shared" si="25"/>
        <v>97208.349074331418</v>
      </c>
      <c r="AL46" s="859">
        <f t="shared" si="23"/>
        <v>6356</v>
      </c>
      <c r="AM46" s="1517"/>
      <c r="AN46" s="1517"/>
      <c r="AO46" s="1517">
        <v>-93</v>
      </c>
      <c r="AP46" s="1517"/>
      <c r="AQ46" s="1521">
        <f t="shared" si="24"/>
        <v>12</v>
      </c>
    </row>
    <row r="47" spans="1:43" s="795" customFormat="1" ht="17.25" customHeight="1">
      <c r="A47" s="836">
        <v>43</v>
      </c>
      <c r="B47" s="837" t="s">
        <v>218</v>
      </c>
      <c r="C47" s="849">
        <v>7</v>
      </c>
      <c r="D47" s="850">
        <f>'Table 3 Levels 1&amp;2'!AL50*90%</f>
        <v>5366.323998911892</v>
      </c>
      <c r="E47" s="850">
        <f t="shared" si="2"/>
        <v>37564.267992383247</v>
      </c>
      <c r="F47" s="851">
        <f>'Table 4 Level 3'!P48*90%</f>
        <v>517.14899999999989</v>
      </c>
      <c r="G47" s="851">
        <f t="shared" si="3"/>
        <v>3620.0429999999992</v>
      </c>
      <c r="H47" s="851">
        <f t="shared" si="4"/>
        <v>41184.310992383245</v>
      </c>
      <c r="I47" s="851">
        <f>'Oct midyear adj_LA virtual'!K48</f>
        <v>41184.310992383238</v>
      </c>
      <c r="J47" s="851">
        <f>'Feb midyear adj_LA virtual '!K48</f>
        <v>-5883.4729989118914</v>
      </c>
      <c r="K47" s="851">
        <f t="shared" si="5"/>
        <v>35300.837993471345</v>
      </c>
      <c r="L47" s="851">
        <f t="shared" si="6"/>
        <v>76485.148985854583</v>
      </c>
      <c r="M47" s="851">
        <f t="shared" si="7"/>
        <v>-191</v>
      </c>
      <c r="N47" s="852">
        <f t="shared" si="8"/>
        <v>76294.148985854583</v>
      </c>
      <c r="O47" s="852">
        <v>0</v>
      </c>
      <c r="P47" s="853">
        <f t="shared" si="9"/>
        <v>76294.148985854583</v>
      </c>
      <c r="Q47" s="854"/>
      <c r="R47" s="853">
        <f t="shared" si="10"/>
        <v>76294.148985854583</v>
      </c>
      <c r="S47" s="853">
        <f>3423*8</f>
        <v>27384</v>
      </c>
      <c r="T47" s="853">
        <f t="shared" si="11"/>
        <v>48910.148985854583</v>
      </c>
      <c r="U47" s="853">
        <f t="shared" si="12"/>
        <v>12228</v>
      </c>
      <c r="V47" s="855">
        <f>'[11]FY2011-12_Final'!$K50*90%</f>
        <v>4791.6000000000004</v>
      </c>
      <c r="W47" s="856">
        <f t="shared" si="1"/>
        <v>33541.200000000004</v>
      </c>
      <c r="X47" s="857">
        <f>'Oct midyear adj_LA virtual'!E48</f>
        <v>7</v>
      </c>
      <c r="Y47" s="856">
        <f t="shared" si="13"/>
        <v>33541.200000000004</v>
      </c>
      <c r="Z47" s="857">
        <f>'Feb midyear adj_LA virtual '!E48</f>
        <v>-2</v>
      </c>
      <c r="AA47" s="856">
        <f t="shared" si="14"/>
        <v>-4791.6000000000004</v>
      </c>
      <c r="AB47" s="856">
        <f t="shared" si="15"/>
        <v>28749.600000000006</v>
      </c>
      <c r="AC47" s="856">
        <f t="shared" si="16"/>
        <v>62290.80000000001</v>
      </c>
      <c r="AD47" s="856">
        <f t="shared" si="17"/>
        <v>-156</v>
      </c>
      <c r="AE47" s="856">
        <f t="shared" si="18"/>
        <v>62134.80000000001</v>
      </c>
      <c r="AF47" s="855">
        <v>0</v>
      </c>
      <c r="AG47" s="858">
        <f t="shared" si="19"/>
        <v>62134.80000000001</v>
      </c>
      <c r="AH47" s="858">
        <f>1827*8</f>
        <v>14616</v>
      </c>
      <c r="AI47" s="858">
        <f t="shared" si="20"/>
        <v>47518.80000000001</v>
      </c>
      <c r="AJ47" s="858">
        <f t="shared" si="21"/>
        <v>11880</v>
      </c>
      <c r="AK47" s="859">
        <f t="shared" si="25"/>
        <v>138428.9489858546</v>
      </c>
      <c r="AL47" s="859">
        <f t="shared" si="23"/>
        <v>24108</v>
      </c>
      <c r="AM47" s="1517"/>
      <c r="AN47" s="1517"/>
      <c r="AO47" s="1517">
        <v>-55</v>
      </c>
      <c r="AP47" s="1517"/>
      <c r="AQ47" s="1521">
        <f t="shared" si="24"/>
        <v>-101</v>
      </c>
    </row>
    <row r="48" spans="1:43" s="795" customFormat="1" ht="17.25" customHeight="1">
      <c r="A48" s="836">
        <v>44</v>
      </c>
      <c r="B48" s="837" t="s">
        <v>219</v>
      </c>
      <c r="C48" s="849">
        <v>10</v>
      </c>
      <c r="D48" s="850">
        <f>'Table 3 Levels 1&amp;2'!AL51*90%</f>
        <v>3921.5191182073468</v>
      </c>
      <c r="E48" s="850">
        <f t="shared" si="2"/>
        <v>39215.191182073468</v>
      </c>
      <c r="F48" s="851">
        <f>'Table 4 Level 3'!P49*90%</f>
        <v>596.84400000000005</v>
      </c>
      <c r="G48" s="851">
        <f t="shared" si="3"/>
        <v>5968.4400000000005</v>
      </c>
      <c r="H48" s="851">
        <f t="shared" si="4"/>
        <v>45183.63118207347</v>
      </c>
      <c r="I48" s="851">
        <f>'Oct midyear adj_LA virtual'!K49</f>
        <v>-22591.815591036735</v>
      </c>
      <c r="J48" s="851">
        <f>'Feb midyear adj_LA virtual '!K49</f>
        <v>-2259.1815591036734</v>
      </c>
      <c r="K48" s="851">
        <f t="shared" si="5"/>
        <v>-24850.997150140407</v>
      </c>
      <c r="L48" s="851">
        <f t="shared" si="6"/>
        <v>20332.634031933063</v>
      </c>
      <c r="M48" s="851">
        <f t="shared" si="7"/>
        <v>-51</v>
      </c>
      <c r="N48" s="852">
        <f t="shared" si="8"/>
        <v>20281.634031933063</v>
      </c>
      <c r="O48" s="852">
        <v>0</v>
      </c>
      <c r="P48" s="853">
        <f t="shared" si="9"/>
        <v>20281.634031933063</v>
      </c>
      <c r="Q48" s="854"/>
      <c r="R48" s="853">
        <f t="shared" si="10"/>
        <v>20281.634031933063</v>
      </c>
      <c r="S48" s="853">
        <f>3756*8</f>
        <v>30048</v>
      </c>
      <c r="T48" s="853">
        <f t="shared" si="11"/>
        <v>-9766.3659680669371</v>
      </c>
      <c r="U48" s="853">
        <f t="shared" si="12"/>
        <v>-2442</v>
      </c>
      <c r="V48" s="855">
        <f>'[11]FY2011-12_Final'!$K51*90%</f>
        <v>4655.7</v>
      </c>
      <c r="W48" s="856">
        <f t="shared" si="1"/>
        <v>46557</v>
      </c>
      <c r="X48" s="857">
        <f>'Oct midyear adj_LA virtual'!E49</f>
        <v>-5</v>
      </c>
      <c r="Y48" s="856">
        <f t="shared" si="13"/>
        <v>-23278.5</v>
      </c>
      <c r="Z48" s="857">
        <f>'Feb midyear adj_LA virtual '!E49</f>
        <v>-1</v>
      </c>
      <c r="AA48" s="856">
        <f t="shared" si="14"/>
        <v>-2327.85</v>
      </c>
      <c r="AB48" s="856">
        <f t="shared" si="15"/>
        <v>-25606.35</v>
      </c>
      <c r="AC48" s="856">
        <f t="shared" si="16"/>
        <v>20950.650000000001</v>
      </c>
      <c r="AD48" s="856">
        <f t="shared" si="17"/>
        <v>-52</v>
      </c>
      <c r="AE48" s="856">
        <f t="shared" si="18"/>
        <v>20898.650000000001</v>
      </c>
      <c r="AF48" s="855">
        <v>0</v>
      </c>
      <c r="AG48" s="858">
        <f t="shared" si="19"/>
        <v>20898.650000000001</v>
      </c>
      <c r="AH48" s="858">
        <f>3663*8</f>
        <v>29304</v>
      </c>
      <c r="AI48" s="858">
        <f t="shared" si="20"/>
        <v>-8405.3499999999985</v>
      </c>
      <c r="AJ48" s="858">
        <f t="shared" si="21"/>
        <v>-2101</v>
      </c>
      <c r="AK48" s="859">
        <f t="shared" si="25"/>
        <v>41180.284031933064</v>
      </c>
      <c r="AL48" s="859">
        <f t="shared" si="23"/>
        <v>-4543</v>
      </c>
      <c r="AM48" s="1517"/>
      <c r="AN48" s="1517"/>
      <c r="AO48" s="1517">
        <v>-110</v>
      </c>
      <c r="AP48" s="1517"/>
      <c r="AQ48" s="1521">
        <f t="shared" si="24"/>
        <v>58</v>
      </c>
    </row>
    <row r="49" spans="1:43" s="795" customFormat="1" ht="17.25" customHeight="1">
      <c r="A49" s="860">
        <v>45</v>
      </c>
      <c r="B49" s="861" t="s">
        <v>220</v>
      </c>
      <c r="C49" s="862">
        <v>9</v>
      </c>
      <c r="D49" s="863">
        <f>'Table 3 Levels 1&amp;2'!AL52*90%</f>
        <v>2187.4313891834572</v>
      </c>
      <c r="E49" s="863">
        <f t="shared" si="2"/>
        <v>19686.882502651115</v>
      </c>
      <c r="F49" s="864">
        <f>'Table 4 Level 3'!P50*90%</f>
        <v>678.56400000000019</v>
      </c>
      <c r="G49" s="864">
        <f t="shared" si="3"/>
        <v>6107.0760000000018</v>
      </c>
      <c r="H49" s="864">
        <f t="shared" si="4"/>
        <v>25793.958502651116</v>
      </c>
      <c r="I49" s="864">
        <f>'Oct midyear adj_LA virtual'!K50</f>
        <v>-20061.967724284201</v>
      </c>
      <c r="J49" s="864">
        <f>'Feb midyear adj_LA virtual '!K50</f>
        <v>0</v>
      </c>
      <c r="K49" s="864">
        <f t="shared" si="5"/>
        <v>-20061.967724284201</v>
      </c>
      <c r="L49" s="864">
        <f t="shared" si="6"/>
        <v>5731.990778366915</v>
      </c>
      <c r="M49" s="864">
        <f t="shared" si="7"/>
        <v>-14</v>
      </c>
      <c r="N49" s="865">
        <f t="shared" si="8"/>
        <v>5717.990778366915</v>
      </c>
      <c r="O49" s="865">
        <v>0</v>
      </c>
      <c r="P49" s="866">
        <f t="shared" si="9"/>
        <v>5717.990778366915</v>
      </c>
      <c r="Q49" s="867"/>
      <c r="R49" s="866">
        <f t="shared" si="10"/>
        <v>5717.990778366915</v>
      </c>
      <c r="S49" s="866">
        <f>2144*8</f>
        <v>17152</v>
      </c>
      <c r="T49" s="866">
        <f t="shared" si="11"/>
        <v>-11434.009221633085</v>
      </c>
      <c r="U49" s="866">
        <f t="shared" si="12"/>
        <v>-2859</v>
      </c>
      <c r="V49" s="868">
        <f>'[11]FY2011-12_Final'!$K52*90%</f>
        <v>9693</v>
      </c>
      <c r="W49" s="869">
        <f t="shared" si="1"/>
        <v>87237</v>
      </c>
      <c r="X49" s="870">
        <f>'Oct midyear adj_LA virtual'!E50</f>
        <v>-7</v>
      </c>
      <c r="Y49" s="869">
        <f t="shared" si="13"/>
        <v>-67851</v>
      </c>
      <c r="Z49" s="870">
        <f>'Feb midyear adj_LA virtual '!E50</f>
        <v>0</v>
      </c>
      <c r="AA49" s="869">
        <f t="shared" si="14"/>
        <v>0</v>
      </c>
      <c r="AB49" s="869">
        <f t="shared" si="15"/>
        <v>-67851</v>
      </c>
      <c r="AC49" s="869">
        <f t="shared" si="16"/>
        <v>19386</v>
      </c>
      <c r="AD49" s="869">
        <f t="shared" si="17"/>
        <v>-48</v>
      </c>
      <c r="AE49" s="869">
        <f t="shared" si="18"/>
        <v>19338</v>
      </c>
      <c r="AF49" s="868">
        <v>0</v>
      </c>
      <c r="AG49" s="871">
        <f t="shared" si="19"/>
        <v>19338</v>
      </c>
      <c r="AH49" s="871">
        <f>6994*8</f>
        <v>55952</v>
      </c>
      <c r="AI49" s="871">
        <f t="shared" si="20"/>
        <v>-36614</v>
      </c>
      <c r="AJ49" s="871">
        <f t="shared" si="21"/>
        <v>-9154</v>
      </c>
      <c r="AK49" s="872">
        <f t="shared" si="25"/>
        <v>25055.990778366915</v>
      </c>
      <c r="AL49" s="872">
        <f t="shared" si="23"/>
        <v>-12013</v>
      </c>
      <c r="AM49" s="1517"/>
      <c r="AN49" s="1517"/>
      <c r="AO49" s="1517">
        <v>-210</v>
      </c>
      <c r="AP49" s="1517"/>
      <c r="AQ49" s="1521">
        <f t="shared" si="24"/>
        <v>162</v>
      </c>
    </row>
    <row r="50" spans="1:43" s="795" customFormat="1" ht="17.25" customHeight="1">
      <c r="A50" s="836">
        <v>46</v>
      </c>
      <c r="B50" s="837" t="s">
        <v>78</v>
      </c>
      <c r="C50" s="838">
        <v>6</v>
      </c>
      <c r="D50" s="839">
        <f>'Table 3 Levels 1&amp;2'!AL53*90%</f>
        <v>5221.8999089820491</v>
      </c>
      <c r="E50" s="839">
        <f t="shared" si="2"/>
        <v>31331.399453892293</v>
      </c>
      <c r="F50" s="840">
        <f>'Table 4 Level 3'!P51*90%</f>
        <v>655.25400000000002</v>
      </c>
      <c r="G50" s="840">
        <f t="shared" si="3"/>
        <v>3931.5240000000003</v>
      </c>
      <c r="H50" s="840">
        <f t="shared" si="4"/>
        <v>35262.92345389229</v>
      </c>
      <c r="I50" s="840">
        <f>'Oct midyear adj_LA virtual'!K51</f>
        <v>-11754.307817964098</v>
      </c>
      <c r="J50" s="840">
        <f>'Feb midyear adj_LA virtual '!K51</f>
        <v>11754.307817964098</v>
      </c>
      <c r="K50" s="840">
        <f t="shared" si="5"/>
        <v>0</v>
      </c>
      <c r="L50" s="840">
        <f t="shared" si="6"/>
        <v>35262.92345389229</v>
      </c>
      <c r="M50" s="840">
        <f t="shared" si="7"/>
        <v>-88</v>
      </c>
      <c r="N50" s="841">
        <f t="shared" si="8"/>
        <v>35174.92345389229</v>
      </c>
      <c r="O50" s="841">
        <v>0</v>
      </c>
      <c r="P50" s="842">
        <f t="shared" si="9"/>
        <v>35174.92345389229</v>
      </c>
      <c r="Q50" s="843"/>
      <c r="R50" s="842">
        <f t="shared" si="10"/>
        <v>35174.92345389229</v>
      </c>
      <c r="S50" s="842">
        <f>2931*8</f>
        <v>23448</v>
      </c>
      <c r="T50" s="842">
        <f t="shared" si="11"/>
        <v>11726.92345389229</v>
      </c>
      <c r="U50" s="842">
        <f t="shared" si="12"/>
        <v>2932</v>
      </c>
      <c r="V50" s="844">
        <f>'[11]FY2011-12_Final'!$K53*90%</f>
        <v>1589.4</v>
      </c>
      <c r="W50" s="845">
        <f t="shared" si="1"/>
        <v>9536.4000000000015</v>
      </c>
      <c r="X50" s="846">
        <f>'Oct midyear adj_LA virtual'!E51</f>
        <v>-2</v>
      </c>
      <c r="Y50" s="845">
        <f t="shared" si="13"/>
        <v>-3178.8</v>
      </c>
      <c r="Z50" s="846">
        <f>'Feb midyear adj_LA virtual '!E51</f>
        <v>4</v>
      </c>
      <c r="AA50" s="845">
        <f t="shared" si="14"/>
        <v>3178.8</v>
      </c>
      <c r="AB50" s="845">
        <f t="shared" si="15"/>
        <v>0</v>
      </c>
      <c r="AC50" s="845">
        <f t="shared" si="16"/>
        <v>9536.4000000000015</v>
      </c>
      <c r="AD50" s="845">
        <f t="shared" si="17"/>
        <v>-24</v>
      </c>
      <c r="AE50" s="845">
        <f t="shared" si="18"/>
        <v>9512.4000000000015</v>
      </c>
      <c r="AF50" s="844">
        <v>0</v>
      </c>
      <c r="AG50" s="847">
        <f t="shared" si="19"/>
        <v>9512.4000000000015</v>
      </c>
      <c r="AH50" s="847">
        <f>748*8</f>
        <v>5984</v>
      </c>
      <c r="AI50" s="847">
        <f t="shared" si="20"/>
        <v>3528.4000000000015</v>
      </c>
      <c r="AJ50" s="847">
        <f t="shared" si="21"/>
        <v>882</v>
      </c>
      <c r="AK50" s="848">
        <f t="shared" si="25"/>
        <v>44687.323453892292</v>
      </c>
      <c r="AL50" s="848">
        <f t="shared" si="23"/>
        <v>3814</v>
      </c>
      <c r="AM50" s="1517"/>
      <c r="AN50" s="1517"/>
      <c r="AO50" s="1517">
        <v>-23</v>
      </c>
      <c r="AP50" s="1517"/>
      <c r="AQ50" s="1521">
        <f t="shared" si="24"/>
        <v>-1</v>
      </c>
    </row>
    <row r="51" spans="1:43" s="795" customFormat="1" ht="17.25" customHeight="1">
      <c r="A51" s="836">
        <v>47</v>
      </c>
      <c r="B51" s="837" t="s">
        <v>221</v>
      </c>
      <c r="C51" s="849">
        <v>5</v>
      </c>
      <c r="D51" s="850">
        <f>'Table 3 Levels 1&amp;2'!AL54*90%</f>
        <v>3098.1307624872338</v>
      </c>
      <c r="E51" s="850">
        <f t="shared" si="2"/>
        <v>15490.653812436169</v>
      </c>
      <c r="F51" s="851">
        <f>'Table 4 Level 3'!P52*90%</f>
        <v>819.68399999999997</v>
      </c>
      <c r="G51" s="851">
        <f t="shared" si="3"/>
        <v>4098.42</v>
      </c>
      <c r="H51" s="851">
        <f t="shared" si="4"/>
        <v>19589.073812436167</v>
      </c>
      <c r="I51" s="851">
        <f>'Oct midyear adj_LA virtual'!K52</f>
        <v>-3917.8147624872336</v>
      </c>
      <c r="J51" s="851">
        <f>'Feb midyear adj_LA virtual '!K52</f>
        <v>1958.9073812436168</v>
      </c>
      <c r="K51" s="851">
        <f t="shared" si="5"/>
        <v>-1958.9073812436168</v>
      </c>
      <c r="L51" s="851">
        <f t="shared" si="6"/>
        <v>17630.166431192552</v>
      </c>
      <c r="M51" s="851">
        <f t="shared" si="7"/>
        <v>-44</v>
      </c>
      <c r="N51" s="852">
        <f t="shared" si="8"/>
        <v>17586.166431192552</v>
      </c>
      <c r="O51" s="852">
        <v>0</v>
      </c>
      <c r="P51" s="853">
        <f t="shared" si="9"/>
        <v>17586.166431192552</v>
      </c>
      <c r="Q51" s="854"/>
      <c r="R51" s="853">
        <f t="shared" si="10"/>
        <v>17586.166431192552</v>
      </c>
      <c r="S51" s="853">
        <f>1628*8</f>
        <v>13024</v>
      </c>
      <c r="T51" s="853">
        <f t="shared" si="11"/>
        <v>4562.1664311925524</v>
      </c>
      <c r="U51" s="853">
        <f t="shared" si="12"/>
        <v>1141</v>
      </c>
      <c r="V51" s="855">
        <f>'[11]FY2011-12_Final'!$K54*90%</f>
        <v>8779.5</v>
      </c>
      <c r="W51" s="856">
        <f t="shared" si="1"/>
        <v>43897.5</v>
      </c>
      <c r="X51" s="857">
        <f>'Oct midyear adj_LA virtual'!E52</f>
        <v>-1</v>
      </c>
      <c r="Y51" s="856">
        <f t="shared" si="13"/>
        <v>-8779.5</v>
      </c>
      <c r="Z51" s="857">
        <f>'Feb midyear adj_LA virtual '!E52</f>
        <v>1</v>
      </c>
      <c r="AA51" s="856">
        <f t="shared" si="14"/>
        <v>4389.75</v>
      </c>
      <c r="AB51" s="856">
        <f t="shared" si="15"/>
        <v>-4389.75</v>
      </c>
      <c r="AC51" s="856">
        <f t="shared" si="16"/>
        <v>39507.75</v>
      </c>
      <c r="AD51" s="856">
        <f t="shared" si="17"/>
        <v>-99</v>
      </c>
      <c r="AE51" s="856">
        <f t="shared" si="18"/>
        <v>39408.75</v>
      </c>
      <c r="AF51" s="855">
        <v>0</v>
      </c>
      <c r="AG51" s="858">
        <f t="shared" si="19"/>
        <v>39408.75</v>
      </c>
      <c r="AH51" s="858">
        <f>3559*8</f>
        <v>28472</v>
      </c>
      <c r="AI51" s="858">
        <f t="shared" si="20"/>
        <v>10936.75</v>
      </c>
      <c r="AJ51" s="858">
        <f t="shared" si="21"/>
        <v>2734</v>
      </c>
      <c r="AK51" s="859">
        <f t="shared" si="25"/>
        <v>56994.916431192556</v>
      </c>
      <c r="AL51" s="859">
        <f t="shared" si="23"/>
        <v>3875</v>
      </c>
      <c r="AM51" s="1517"/>
      <c r="AN51" s="1517"/>
      <c r="AO51" s="1517">
        <v>-107</v>
      </c>
      <c r="AP51" s="1517"/>
      <c r="AQ51" s="1521">
        <f t="shared" si="24"/>
        <v>8</v>
      </c>
    </row>
    <row r="52" spans="1:43" s="795" customFormat="1" ht="17.25" customHeight="1">
      <c r="A52" s="836">
        <v>48</v>
      </c>
      <c r="B52" s="837" t="s">
        <v>222</v>
      </c>
      <c r="C52" s="849">
        <v>14</v>
      </c>
      <c r="D52" s="850">
        <f>'Table 3 Levels 1&amp;2'!AL55*90%</f>
        <v>3116.6706997342021</v>
      </c>
      <c r="E52" s="850">
        <f t="shared" si="2"/>
        <v>43633.389796278832</v>
      </c>
      <c r="F52" s="851">
        <f>'Table 4 Level 3'!P53*90%</f>
        <v>783.96300000000008</v>
      </c>
      <c r="G52" s="851">
        <f t="shared" si="3"/>
        <v>10975.482000000002</v>
      </c>
      <c r="H52" s="851">
        <f t="shared" si="4"/>
        <v>54608.871796278836</v>
      </c>
      <c r="I52" s="851">
        <f>'Oct midyear adj_LA virtual'!K53</f>
        <v>-15602.534798936809</v>
      </c>
      <c r="J52" s="851">
        <f>'Feb midyear adj_LA virtual '!K53</f>
        <v>0</v>
      </c>
      <c r="K52" s="851">
        <f t="shared" si="5"/>
        <v>-15602.534798936809</v>
      </c>
      <c r="L52" s="851">
        <f t="shared" si="6"/>
        <v>39006.336997342027</v>
      </c>
      <c r="M52" s="851">
        <f t="shared" si="7"/>
        <v>-98</v>
      </c>
      <c r="N52" s="852">
        <f t="shared" si="8"/>
        <v>38908.336997342027</v>
      </c>
      <c r="O52" s="852">
        <v>0</v>
      </c>
      <c r="P52" s="853">
        <f t="shared" si="9"/>
        <v>38908.336997342027</v>
      </c>
      <c r="Q52" s="854"/>
      <c r="R52" s="853">
        <f t="shared" si="10"/>
        <v>38908.336997342027</v>
      </c>
      <c r="S52" s="853">
        <f>4539*8</f>
        <v>36312</v>
      </c>
      <c r="T52" s="853">
        <f t="shared" si="11"/>
        <v>2596.3369973420267</v>
      </c>
      <c r="U52" s="853">
        <f t="shared" si="12"/>
        <v>649</v>
      </c>
      <c r="V52" s="855">
        <f>'[11]FY2011-12_Final'!$K55*90%</f>
        <v>4622.4000000000005</v>
      </c>
      <c r="W52" s="856">
        <f t="shared" si="1"/>
        <v>64713.600000000006</v>
      </c>
      <c r="X52" s="857">
        <f>'Oct midyear adj_LA virtual'!E53</f>
        <v>-4</v>
      </c>
      <c r="Y52" s="856">
        <f t="shared" si="13"/>
        <v>-18489.600000000002</v>
      </c>
      <c r="Z52" s="857">
        <f>'Feb midyear adj_LA virtual '!E53</f>
        <v>0</v>
      </c>
      <c r="AA52" s="856">
        <f t="shared" si="14"/>
        <v>0</v>
      </c>
      <c r="AB52" s="856">
        <f t="shared" si="15"/>
        <v>-18489.600000000002</v>
      </c>
      <c r="AC52" s="856">
        <f t="shared" si="16"/>
        <v>46224</v>
      </c>
      <c r="AD52" s="856">
        <f t="shared" si="17"/>
        <v>-116</v>
      </c>
      <c r="AE52" s="856">
        <f t="shared" si="18"/>
        <v>46108</v>
      </c>
      <c r="AF52" s="855">
        <v>0</v>
      </c>
      <c r="AG52" s="858">
        <f t="shared" si="19"/>
        <v>46108</v>
      </c>
      <c r="AH52" s="858">
        <f>5519*8</f>
        <v>44152</v>
      </c>
      <c r="AI52" s="858">
        <f t="shared" si="20"/>
        <v>1956</v>
      </c>
      <c r="AJ52" s="858">
        <f t="shared" si="21"/>
        <v>489</v>
      </c>
      <c r="AK52" s="859">
        <f t="shared" si="25"/>
        <v>85016.336997342034</v>
      </c>
      <c r="AL52" s="859">
        <f t="shared" si="23"/>
        <v>1138</v>
      </c>
      <c r="AM52" s="1517"/>
      <c r="AN52" s="1517"/>
      <c r="AO52" s="1517">
        <v>-166</v>
      </c>
      <c r="AP52" s="1517"/>
      <c r="AQ52" s="1521">
        <f t="shared" si="24"/>
        <v>50</v>
      </c>
    </row>
    <row r="53" spans="1:43" s="795" customFormat="1" ht="17.25" customHeight="1">
      <c r="A53" s="836">
        <v>49</v>
      </c>
      <c r="B53" s="837" t="s">
        <v>223</v>
      </c>
      <c r="C53" s="849">
        <v>36</v>
      </c>
      <c r="D53" s="850">
        <f>'Table 3 Levels 1&amp;2'!AL56*90%</f>
        <v>4382.8223958618019</v>
      </c>
      <c r="E53" s="850">
        <f t="shared" si="2"/>
        <v>157781.60625102487</v>
      </c>
      <c r="F53" s="851">
        <f>'Table 4 Level 3'!P54*90%</f>
        <v>516.99599999999998</v>
      </c>
      <c r="G53" s="851">
        <f t="shared" si="3"/>
        <v>18611.856</v>
      </c>
      <c r="H53" s="851">
        <f t="shared" si="4"/>
        <v>176393.46225102487</v>
      </c>
      <c r="I53" s="851">
        <f>'Oct midyear adj_LA virtual'!K54</f>
        <v>48998.183958618021</v>
      </c>
      <c r="J53" s="851">
        <f>'Feb midyear adj_LA virtual '!K54</f>
        <v>7349.7275937927025</v>
      </c>
      <c r="K53" s="851">
        <f t="shared" si="5"/>
        <v>56347.911552410726</v>
      </c>
      <c r="L53" s="851">
        <f t="shared" si="6"/>
        <v>232741.37380343559</v>
      </c>
      <c r="M53" s="851">
        <f t="shared" si="7"/>
        <v>-582</v>
      </c>
      <c r="N53" s="852">
        <f t="shared" si="8"/>
        <v>232159.37380343559</v>
      </c>
      <c r="O53" s="852">
        <v>0</v>
      </c>
      <c r="P53" s="853">
        <f t="shared" si="9"/>
        <v>232159.37380343559</v>
      </c>
      <c r="Q53" s="854"/>
      <c r="R53" s="853">
        <f t="shared" si="10"/>
        <v>232159.37380343559</v>
      </c>
      <c r="S53" s="853">
        <f>14663*8</f>
        <v>117304</v>
      </c>
      <c r="T53" s="853">
        <f t="shared" si="11"/>
        <v>114855.37380343559</v>
      </c>
      <c r="U53" s="853">
        <f t="shared" si="12"/>
        <v>28714</v>
      </c>
      <c r="V53" s="855">
        <f>'[11]FY2011-12_Final'!$K56*90%</f>
        <v>2011.5</v>
      </c>
      <c r="W53" s="856">
        <f t="shared" si="1"/>
        <v>72414</v>
      </c>
      <c r="X53" s="857">
        <f>'Oct midyear adj_LA virtual'!E54</f>
        <v>10</v>
      </c>
      <c r="Y53" s="856">
        <f t="shared" si="13"/>
        <v>20115</v>
      </c>
      <c r="Z53" s="857">
        <f>'Feb midyear adj_LA virtual '!E54</f>
        <v>3</v>
      </c>
      <c r="AA53" s="856">
        <f t="shared" si="14"/>
        <v>3017.25</v>
      </c>
      <c r="AB53" s="856">
        <f t="shared" si="15"/>
        <v>23132.25</v>
      </c>
      <c r="AC53" s="856">
        <f t="shared" si="16"/>
        <v>95546.25</v>
      </c>
      <c r="AD53" s="856">
        <f t="shared" si="17"/>
        <v>-239</v>
      </c>
      <c r="AE53" s="856">
        <f t="shared" si="18"/>
        <v>95307.25</v>
      </c>
      <c r="AF53" s="855">
        <v>0</v>
      </c>
      <c r="AG53" s="858">
        <f t="shared" si="19"/>
        <v>95307.25</v>
      </c>
      <c r="AH53" s="858">
        <f>5866*8</f>
        <v>46928</v>
      </c>
      <c r="AI53" s="858">
        <f t="shared" si="20"/>
        <v>48379.25</v>
      </c>
      <c r="AJ53" s="858">
        <f t="shared" si="21"/>
        <v>12095</v>
      </c>
      <c r="AK53" s="859">
        <f t="shared" si="25"/>
        <v>327466.62380343559</v>
      </c>
      <c r="AL53" s="859">
        <f t="shared" si="23"/>
        <v>40809</v>
      </c>
      <c r="AM53" s="1517"/>
      <c r="AN53" s="1517"/>
      <c r="AO53" s="1517">
        <v>-176</v>
      </c>
      <c r="AP53" s="1517"/>
      <c r="AQ53" s="1521">
        <f t="shared" si="24"/>
        <v>-63</v>
      </c>
    </row>
    <row r="54" spans="1:43" s="795" customFormat="1" ht="17.25" customHeight="1">
      <c r="A54" s="860">
        <v>50</v>
      </c>
      <c r="B54" s="861" t="s">
        <v>224</v>
      </c>
      <c r="C54" s="862">
        <v>10</v>
      </c>
      <c r="D54" s="863">
        <f>'Table 3 Levels 1&amp;2'!AL57*90%</f>
        <v>4559.7314595568487</v>
      </c>
      <c r="E54" s="863">
        <f t="shared" si="2"/>
        <v>45597.314595568489</v>
      </c>
      <c r="F54" s="864">
        <f>'Table 4 Level 3'!P55*90%</f>
        <v>571.01400000000001</v>
      </c>
      <c r="G54" s="864">
        <f t="shared" si="3"/>
        <v>5710.14</v>
      </c>
      <c r="H54" s="864">
        <f t="shared" si="4"/>
        <v>51307.454595568488</v>
      </c>
      <c r="I54" s="864">
        <f>'Oct midyear adj_LA virtual'!K55</f>
        <v>5130.7454595568488</v>
      </c>
      <c r="J54" s="864">
        <f>'Feb midyear adj_LA virtual '!K55</f>
        <v>-2565.3727297784244</v>
      </c>
      <c r="K54" s="864">
        <f t="shared" si="5"/>
        <v>2565.3727297784244</v>
      </c>
      <c r="L54" s="864">
        <f t="shared" si="6"/>
        <v>53872.827325346909</v>
      </c>
      <c r="M54" s="864">
        <f t="shared" si="7"/>
        <v>-135</v>
      </c>
      <c r="N54" s="865">
        <f t="shared" si="8"/>
        <v>53737.827325346909</v>
      </c>
      <c r="O54" s="865">
        <v>0</v>
      </c>
      <c r="P54" s="866">
        <f t="shared" si="9"/>
        <v>53737.827325346909</v>
      </c>
      <c r="Q54" s="867"/>
      <c r="R54" s="866">
        <f t="shared" si="10"/>
        <v>53737.827325346909</v>
      </c>
      <c r="S54" s="866">
        <f>4265*8</f>
        <v>34120</v>
      </c>
      <c r="T54" s="866">
        <f t="shared" si="11"/>
        <v>19617.827325346909</v>
      </c>
      <c r="U54" s="866">
        <f t="shared" si="12"/>
        <v>4904</v>
      </c>
      <c r="V54" s="868">
        <f>'[11]FY2011-12_Final'!$K57*90%</f>
        <v>2280.6</v>
      </c>
      <c r="W54" s="869">
        <f t="shared" si="1"/>
        <v>22806</v>
      </c>
      <c r="X54" s="870">
        <f>'Oct midyear adj_LA virtual'!E55</f>
        <v>1</v>
      </c>
      <c r="Y54" s="869">
        <f t="shared" si="13"/>
        <v>2280.6</v>
      </c>
      <c r="Z54" s="870">
        <f>'Feb midyear adj_LA virtual '!E55</f>
        <v>-1</v>
      </c>
      <c r="AA54" s="869">
        <f t="shared" si="14"/>
        <v>-1140.3</v>
      </c>
      <c r="AB54" s="869">
        <f t="shared" si="15"/>
        <v>1140.3</v>
      </c>
      <c r="AC54" s="869">
        <f t="shared" si="16"/>
        <v>23946.3</v>
      </c>
      <c r="AD54" s="869">
        <f t="shared" si="17"/>
        <v>-60</v>
      </c>
      <c r="AE54" s="869">
        <f t="shared" si="18"/>
        <v>23886.3</v>
      </c>
      <c r="AF54" s="868">
        <v>0</v>
      </c>
      <c r="AG54" s="871">
        <f t="shared" si="19"/>
        <v>23886.3</v>
      </c>
      <c r="AH54" s="871">
        <f>1805*8</f>
        <v>14440</v>
      </c>
      <c r="AI54" s="871">
        <f t="shared" si="20"/>
        <v>9446.2999999999993</v>
      </c>
      <c r="AJ54" s="871">
        <f t="shared" si="21"/>
        <v>2362</v>
      </c>
      <c r="AK54" s="872">
        <f t="shared" si="25"/>
        <v>77624.127325346912</v>
      </c>
      <c r="AL54" s="872">
        <f t="shared" si="23"/>
        <v>7266</v>
      </c>
      <c r="AM54" s="1517"/>
      <c r="AN54" s="1517"/>
      <c r="AO54" s="1517">
        <v>-54</v>
      </c>
      <c r="AP54" s="1517"/>
      <c r="AQ54" s="1521">
        <f t="shared" si="24"/>
        <v>-6</v>
      </c>
    </row>
    <row r="55" spans="1:43" s="795" customFormat="1" ht="17.25" customHeight="1">
      <c r="A55" s="836">
        <v>51</v>
      </c>
      <c r="B55" s="837" t="s">
        <v>225</v>
      </c>
      <c r="C55" s="838">
        <v>5</v>
      </c>
      <c r="D55" s="839">
        <f>'Table 3 Levels 1&amp;2'!AL58*90%</f>
        <v>4084.7188881585589</v>
      </c>
      <c r="E55" s="839">
        <f t="shared" si="2"/>
        <v>20423.594440792796</v>
      </c>
      <c r="F55" s="840">
        <f>'Table 4 Level 3'!P56*90%</f>
        <v>635.99400000000003</v>
      </c>
      <c r="G55" s="840">
        <f t="shared" si="3"/>
        <v>3179.9700000000003</v>
      </c>
      <c r="H55" s="840">
        <f t="shared" si="4"/>
        <v>23603.564440792798</v>
      </c>
      <c r="I55" s="840">
        <f>'Oct midyear adj_LA virtual'!K56</f>
        <v>37765.703105268469</v>
      </c>
      <c r="J55" s="840">
        <f>'Feb midyear adj_LA virtual '!K56</f>
        <v>-2360.3564440792793</v>
      </c>
      <c r="K55" s="840">
        <f t="shared" si="5"/>
        <v>35405.346661189193</v>
      </c>
      <c r="L55" s="840">
        <f t="shared" si="6"/>
        <v>59008.91110198199</v>
      </c>
      <c r="M55" s="840">
        <f t="shared" si="7"/>
        <v>-148</v>
      </c>
      <c r="N55" s="841">
        <f t="shared" si="8"/>
        <v>58860.91110198199</v>
      </c>
      <c r="O55" s="841">
        <v>0</v>
      </c>
      <c r="P55" s="842">
        <f t="shared" si="9"/>
        <v>58860.91110198199</v>
      </c>
      <c r="Q55" s="843"/>
      <c r="R55" s="842">
        <f t="shared" si="10"/>
        <v>58860.91110198199</v>
      </c>
      <c r="S55" s="842">
        <f>1962*8</f>
        <v>15696</v>
      </c>
      <c r="T55" s="842">
        <f t="shared" si="11"/>
        <v>43164.91110198199</v>
      </c>
      <c r="U55" s="842">
        <f t="shared" si="12"/>
        <v>10791</v>
      </c>
      <c r="V55" s="844">
        <f>'[11]FY2011-12_Final'!$K58*90%</f>
        <v>3637.8</v>
      </c>
      <c r="W55" s="845">
        <f t="shared" si="1"/>
        <v>18189</v>
      </c>
      <c r="X55" s="846">
        <f>'Oct midyear adj_LA virtual'!E56</f>
        <v>8</v>
      </c>
      <c r="Y55" s="845">
        <f t="shared" si="13"/>
        <v>29102.400000000001</v>
      </c>
      <c r="Z55" s="846">
        <f>'Feb midyear adj_LA virtual '!E56</f>
        <v>-1</v>
      </c>
      <c r="AA55" s="845">
        <f t="shared" si="14"/>
        <v>-1818.9</v>
      </c>
      <c r="AB55" s="845">
        <f t="shared" si="15"/>
        <v>27283.5</v>
      </c>
      <c r="AC55" s="845">
        <f t="shared" si="16"/>
        <v>45472.5</v>
      </c>
      <c r="AD55" s="845">
        <f t="shared" si="17"/>
        <v>-114</v>
      </c>
      <c r="AE55" s="845">
        <f t="shared" si="18"/>
        <v>45358.5</v>
      </c>
      <c r="AF55" s="844">
        <v>0</v>
      </c>
      <c r="AG55" s="847">
        <f t="shared" si="19"/>
        <v>45358.5</v>
      </c>
      <c r="AH55" s="847">
        <f>1479*8</f>
        <v>11832</v>
      </c>
      <c r="AI55" s="847">
        <f t="shared" si="20"/>
        <v>33526.5</v>
      </c>
      <c r="AJ55" s="847">
        <f t="shared" si="21"/>
        <v>8382</v>
      </c>
      <c r="AK55" s="848">
        <f t="shared" si="25"/>
        <v>104219.411101982</v>
      </c>
      <c r="AL55" s="848">
        <f t="shared" si="23"/>
        <v>19173</v>
      </c>
      <c r="AM55" s="1517"/>
      <c r="AN55" s="1517"/>
      <c r="AO55" s="1517">
        <v>-44</v>
      </c>
      <c r="AP55" s="1517"/>
      <c r="AQ55" s="1521">
        <f t="shared" si="24"/>
        <v>-70</v>
      </c>
    </row>
    <row r="56" spans="1:43" s="795" customFormat="1" ht="17.25" customHeight="1">
      <c r="A56" s="836">
        <v>52</v>
      </c>
      <c r="B56" s="837" t="s">
        <v>226</v>
      </c>
      <c r="C56" s="849">
        <v>70</v>
      </c>
      <c r="D56" s="850">
        <f>'Table 3 Levels 1&amp;2'!AL59*90%</f>
        <v>4487.571353437329</v>
      </c>
      <c r="E56" s="850">
        <f t="shared" si="2"/>
        <v>314129.99474061304</v>
      </c>
      <c r="F56" s="851">
        <f>'Table 4 Level 3'!P57*90%</f>
        <v>592.53300000000002</v>
      </c>
      <c r="G56" s="851">
        <f t="shared" si="3"/>
        <v>41477.31</v>
      </c>
      <c r="H56" s="851">
        <f t="shared" si="4"/>
        <v>355607.30474061304</v>
      </c>
      <c r="I56" s="851">
        <f>'Oct midyear adj_LA virtual'!K57</f>
        <v>5080.1043534373293</v>
      </c>
      <c r="J56" s="851">
        <f>'Feb midyear adj_LA virtual '!K57</f>
        <v>-15240.313060311988</v>
      </c>
      <c r="K56" s="851">
        <f t="shared" si="5"/>
        <v>-10160.208706874659</v>
      </c>
      <c r="L56" s="851">
        <f t="shared" si="6"/>
        <v>345447.09603373834</v>
      </c>
      <c r="M56" s="851">
        <f t="shared" si="7"/>
        <v>-864</v>
      </c>
      <c r="N56" s="852">
        <f t="shared" si="8"/>
        <v>344583.09603373834</v>
      </c>
      <c r="O56" s="852">
        <v>0</v>
      </c>
      <c r="P56" s="853">
        <f t="shared" si="9"/>
        <v>344583.09603373834</v>
      </c>
      <c r="Q56" s="854"/>
      <c r="R56" s="853">
        <f t="shared" si="10"/>
        <v>344583.09603373834</v>
      </c>
      <c r="S56" s="853">
        <f>29560*8</f>
        <v>236480</v>
      </c>
      <c r="T56" s="853">
        <f t="shared" si="11"/>
        <v>108103.09603373834</v>
      </c>
      <c r="U56" s="853">
        <f t="shared" si="12"/>
        <v>27026</v>
      </c>
      <c r="V56" s="855">
        <f>'[11]FY2011-12_Final'!$K59*90%</f>
        <v>4339.8</v>
      </c>
      <c r="W56" s="856">
        <f t="shared" si="1"/>
        <v>303786</v>
      </c>
      <c r="X56" s="857">
        <f>'Oct midyear adj_LA virtual'!E57</f>
        <v>1</v>
      </c>
      <c r="Y56" s="856">
        <f t="shared" si="13"/>
        <v>4339.8</v>
      </c>
      <c r="Z56" s="857">
        <f>'Feb midyear adj_LA virtual '!E57</f>
        <v>-6</v>
      </c>
      <c r="AA56" s="856">
        <f t="shared" si="14"/>
        <v>-13019.400000000001</v>
      </c>
      <c r="AB56" s="856">
        <f t="shared" si="15"/>
        <v>-8679.6000000000022</v>
      </c>
      <c r="AC56" s="856">
        <f t="shared" si="16"/>
        <v>295106.39999999997</v>
      </c>
      <c r="AD56" s="856">
        <f t="shared" si="17"/>
        <v>-738</v>
      </c>
      <c r="AE56" s="856">
        <f t="shared" si="18"/>
        <v>294368.39999999997</v>
      </c>
      <c r="AF56" s="855">
        <v>0</v>
      </c>
      <c r="AG56" s="858">
        <f t="shared" si="19"/>
        <v>294368.39999999997</v>
      </c>
      <c r="AH56" s="858">
        <f>25404*8</f>
        <v>203232</v>
      </c>
      <c r="AI56" s="858">
        <f t="shared" si="20"/>
        <v>91136.399999999965</v>
      </c>
      <c r="AJ56" s="858">
        <f t="shared" si="21"/>
        <v>22784</v>
      </c>
      <c r="AK56" s="859">
        <f t="shared" si="25"/>
        <v>638951.49603373837</v>
      </c>
      <c r="AL56" s="859">
        <f t="shared" si="23"/>
        <v>49810</v>
      </c>
      <c r="AM56" s="1517"/>
      <c r="AN56" s="1517"/>
      <c r="AO56" s="1517">
        <v>-764</v>
      </c>
      <c r="AP56" s="1517"/>
      <c r="AQ56" s="1521">
        <f t="shared" si="24"/>
        <v>26</v>
      </c>
    </row>
    <row r="57" spans="1:43" s="795" customFormat="1" ht="17.25" customHeight="1">
      <c r="A57" s="836">
        <v>53</v>
      </c>
      <c r="B57" s="837" t="s">
        <v>227</v>
      </c>
      <c r="C57" s="849">
        <v>61</v>
      </c>
      <c r="D57" s="850">
        <f>'Table 3 Levels 1&amp;2'!AL60*90%</f>
        <v>4270.7827013792439</v>
      </c>
      <c r="E57" s="850">
        <f t="shared" si="2"/>
        <v>260517.74478413389</v>
      </c>
      <c r="F57" s="851">
        <f>'Table 4 Level 3'!P58*90%</f>
        <v>620.76600000000008</v>
      </c>
      <c r="G57" s="851">
        <f t="shared" si="3"/>
        <v>37866.726000000002</v>
      </c>
      <c r="H57" s="851">
        <f t="shared" si="4"/>
        <v>298384.47078413388</v>
      </c>
      <c r="I57" s="851">
        <f>'Oct midyear adj_LA virtual'!K58</f>
        <v>-34240.840909654711</v>
      </c>
      <c r="J57" s="851">
        <f>'Feb midyear adj_LA virtual '!K58</f>
        <v>-14674.646104137733</v>
      </c>
      <c r="K57" s="851">
        <f t="shared" si="5"/>
        <v>-48915.487013792444</v>
      </c>
      <c r="L57" s="851">
        <f t="shared" si="6"/>
        <v>249468.98377034141</v>
      </c>
      <c r="M57" s="851">
        <f t="shared" si="7"/>
        <v>-624</v>
      </c>
      <c r="N57" s="852">
        <f t="shared" si="8"/>
        <v>248844.98377034141</v>
      </c>
      <c r="O57" s="852">
        <v>0</v>
      </c>
      <c r="P57" s="853">
        <f t="shared" si="9"/>
        <v>248844.98377034141</v>
      </c>
      <c r="Q57" s="854"/>
      <c r="R57" s="853">
        <f t="shared" si="10"/>
        <v>248844.98377034141</v>
      </c>
      <c r="S57" s="853">
        <f>24803*8</f>
        <v>198424</v>
      </c>
      <c r="T57" s="853">
        <f t="shared" si="11"/>
        <v>50420.983770341409</v>
      </c>
      <c r="U57" s="853">
        <f t="shared" si="12"/>
        <v>12605</v>
      </c>
      <c r="V57" s="855">
        <f>'[11]FY2011-12_Final'!$K60*90%</f>
        <v>1726.2</v>
      </c>
      <c r="W57" s="856">
        <f t="shared" si="1"/>
        <v>105298.2</v>
      </c>
      <c r="X57" s="857">
        <f>'Oct midyear adj_LA virtual'!E58</f>
        <v>-7</v>
      </c>
      <c r="Y57" s="856">
        <f t="shared" si="13"/>
        <v>-12083.4</v>
      </c>
      <c r="Z57" s="857">
        <f>'Feb midyear adj_LA virtual '!E58</f>
        <v>-6</v>
      </c>
      <c r="AA57" s="856">
        <f t="shared" si="14"/>
        <v>-5178.6000000000004</v>
      </c>
      <c r="AB57" s="856">
        <f t="shared" si="15"/>
        <v>-17262</v>
      </c>
      <c r="AC57" s="856">
        <f t="shared" si="16"/>
        <v>88036.2</v>
      </c>
      <c r="AD57" s="856">
        <f t="shared" si="17"/>
        <v>-220</v>
      </c>
      <c r="AE57" s="856">
        <f t="shared" si="18"/>
        <v>87816.2</v>
      </c>
      <c r="AF57" s="855">
        <v>0</v>
      </c>
      <c r="AG57" s="858">
        <f t="shared" si="19"/>
        <v>87816.2</v>
      </c>
      <c r="AH57" s="858">
        <f>8803*8</f>
        <v>70424</v>
      </c>
      <c r="AI57" s="858">
        <f t="shared" si="20"/>
        <v>17392.199999999997</v>
      </c>
      <c r="AJ57" s="858">
        <f t="shared" si="21"/>
        <v>4348</v>
      </c>
      <c r="AK57" s="859">
        <f t="shared" si="25"/>
        <v>336661.18377034139</v>
      </c>
      <c r="AL57" s="859">
        <f t="shared" si="23"/>
        <v>16953</v>
      </c>
      <c r="AM57" s="1517"/>
      <c r="AN57" s="1517"/>
      <c r="AO57" s="1517">
        <v>-265</v>
      </c>
      <c r="AP57" s="1517"/>
      <c r="AQ57" s="1521">
        <f t="shared" si="24"/>
        <v>45</v>
      </c>
    </row>
    <row r="58" spans="1:43" s="795" customFormat="1" ht="17.25" customHeight="1">
      <c r="A58" s="836">
        <v>54</v>
      </c>
      <c r="B58" s="837" t="s">
        <v>228</v>
      </c>
      <c r="C58" s="849">
        <v>0</v>
      </c>
      <c r="D58" s="850">
        <f>'Table 3 Levels 1&amp;2'!AL61*90%</f>
        <v>5088.86379648</v>
      </c>
      <c r="E58" s="850">
        <f t="shared" si="2"/>
        <v>0</v>
      </c>
      <c r="F58" s="851">
        <f>'Table 4 Level 3'!P59*90%</f>
        <v>856.30500000000006</v>
      </c>
      <c r="G58" s="851">
        <f t="shared" si="3"/>
        <v>0</v>
      </c>
      <c r="H58" s="851">
        <f t="shared" si="4"/>
        <v>0</v>
      </c>
      <c r="I58" s="851">
        <f>'Oct midyear adj_LA virtual'!K59</f>
        <v>0</v>
      </c>
      <c r="J58" s="851">
        <f>'Feb midyear adj_LA virtual '!K59</f>
        <v>0</v>
      </c>
      <c r="K58" s="851">
        <f t="shared" si="5"/>
        <v>0</v>
      </c>
      <c r="L58" s="851">
        <f t="shared" si="6"/>
        <v>0</v>
      </c>
      <c r="M58" s="851">
        <f t="shared" si="7"/>
        <v>0</v>
      </c>
      <c r="N58" s="852">
        <f t="shared" si="8"/>
        <v>0</v>
      </c>
      <c r="O58" s="852">
        <v>0</v>
      </c>
      <c r="P58" s="853">
        <f t="shared" si="9"/>
        <v>0</v>
      </c>
      <c r="Q58" s="854"/>
      <c r="R58" s="853">
        <f t="shared" si="10"/>
        <v>0</v>
      </c>
      <c r="S58" s="853">
        <f>0*8</f>
        <v>0</v>
      </c>
      <c r="T58" s="853">
        <f t="shared" si="11"/>
        <v>0</v>
      </c>
      <c r="U58" s="853">
        <f t="shared" si="12"/>
        <v>0</v>
      </c>
      <c r="V58" s="855">
        <f>'[11]FY2011-12_Final'!$K61*90%</f>
        <v>2655.9</v>
      </c>
      <c r="W58" s="856">
        <f t="shared" si="1"/>
        <v>0</v>
      </c>
      <c r="X58" s="857">
        <f>'Oct midyear adj_LA virtual'!E59</f>
        <v>0</v>
      </c>
      <c r="Y58" s="856">
        <f t="shared" si="13"/>
        <v>0</v>
      </c>
      <c r="Z58" s="857">
        <f>'Feb midyear adj_LA virtual '!E59</f>
        <v>0</v>
      </c>
      <c r="AA58" s="856">
        <f t="shared" si="14"/>
        <v>0</v>
      </c>
      <c r="AB58" s="856">
        <f t="shared" si="15"/>
        <v>0</v>
      </c>
      <c r="AC58" s="856">
        <f t="shared" si="16"/>
        <v>0</v>
      </c>
      <c r="AD58" s="856">
        <f t="shared" si="17"/>
        <v>0</v>
      </c>
      <c r="AE58" s="856">
        <f t="shared" si="18"/>
        <v>0</v>
      </c>
      <c r="AF58" s="855">
        <v>0</v>
      </c>
      <c r="AG58" s="858">
        <f t="shared" si="19"/>
        <v>0</v>
      </c>
      <c r="AH58" s="858">
        <f>0*8</f>
        <v>0</v>
      </c>
      <c r="AI58" s="858">
        <f t="shared" si="20"/>
        <v>0</v>
      </c>
      <c r="AJ58" s="858">
        <f t="shared" si="21"/>
        <v>0</v>
      </c>
      <c r="AK58" s="859">
        <f t="shared" si="25"/>
        <v>0</v>
      </c>
      <c r="AL58" s="859">
        <f t="shared" si="23"/>
        <v>0</v>
      </c>
      <c r="AM58" s="1517"/>
      <c r="AN58" s="1517"/>
      <c r="AO58" s="1517">
        <v>0</v>
      </c>
      <c r="AP58" s="1517"/>
      <c r="AQ58" s="1521">
        <f t="shared" si="24"/>
        <v>0</v>
      </c>
    </row>
    <row r="59" spans="1:43" s="795" customFormat="1" ht="17.25" customHeight="1">
      <c r="A59" s="860">
        <v>55</v>
      </c>
      <c r="B59" s="861" t="s">
        <v>229</v>
      </c>
      <c r="C59" s="862">
        <v>9</v>
      </c>
      <c r="D59" s="863">
        <f>'Table 3 Levels 1&amp;2'!AL62*90%</f>
        <v>3661.7481053348683</v>
      </c>
      <c r="E59" s="863">
        <f t="shared" si="2"/>
        <v>32955.732948013814</v>
      </c>
      <c r="F59" s="864">
        <f>'Table 4 Level 3'!P60*90%</f>
        <v>715.62599999999998</v>
      </c>
      <c r="G59" s="864">
        <f t="shared" si="3"/>
        <v>6440.634</v>
      </c>
      <c r="H59" s="864">
        <f t="shared" si="4"/>
        <v>39396.366948013812</v>
      </c>
      <c r="I59" s="864">
        <f>'Oct midyear adj_LA virtual'!K60</f>
        <v>43773.741053348684</v>
      </c>
      <c r="J59" s="864">
        <f>'Feb midyear adj_LA virtual '!K60</f>
        <v>15320.80936867204</v>
      </c>
      <c r="K59" s="864">
        <f t="shared" si="5"/>
        <v>59094.550422020722</v>
      </c>
      <c r="L59" s="864">
        <f t="shared" si="6"/>
        <v>98490.917370034542</v>
      </c>
      <c r="M59" s="864">
        <f t="shared" si="7"/>
        <v>-246</v>
      </c>
      <c r="N59" s="865">
        <f t="shared" si="8"/>
        <v>98244.917370034542</v>
      </c>
      <c r="O59" s="865">
        <v>0</v>
      </c>
      <c r="P59" s="866">
        <f t="shared" si="9"/>
        <v>98244.917370034542</v>
      </c>
      <c r="Q59" s="867"/>
      <c r="R59" s="866">
        <f t="shared" si="10"/>
        <v>98244.917370034542</v>
      </c>
      <c r="S59" s="866">
        <f>3275*8</f>
        <v>26200</v>
      </c>
      <c r="T59" s="866">
        <f t="shared" si="11"/>
        <v>72044.917370034542</v>
      </c>
      <c r="U59" s="866">
        <f t="shared" si="12"/>
        <v>18011</v>
      </c>
      <c r="V59" s="868">
        <f>'[11]FY2011-12_Final'!$K62*90%</f>
        <v>2719.8</v>
      </c>
      <c r="W59" s="869">
        <f t="shared" si="1"/>
        <v>24478.2</v>
      </c>
      <c r="X59" s="870">
        <f>'Oct midyear adj_LA virtual'!E60</f>
        <v>10</v>
      </c>
      <c r="Y59" s="869">
        <f t="shared" si="13"/>
        <v>27198</v>
      </c>
      <c r="Z59" s="870">
        <f>'Feb midyear adj_LA virtual '!E60</f>
        <v>7</v>
      </c>
      <c r="AA59" s="869">
        <f t="shared" si="14"/>
        <v>9519.3000000000011</v>
      </c>
      <c r="AB59" s="869">
        <f t="shared" si="15"/>
        <v>36717.300000000003</v>
      </c>
      <c r="AC59" s="869">
        <f t="shared" si="16"/>
        <v>61195.5</v>
      </c>
      <c r="AD59" s="869">
        <f t="shared" si="17"/>
        <v>-153</v>
      </c>
      <c r="AE59" s="869">
        <f t="shared" si="18"/>
        <v>61042.5</v>
      </c>
      <c r="AF59" s="868">
        <v>0</v>
      </c>
      <c r="AG59" s="871">
        <f t="shared" si="19"/>
        <v>61042.5</v>
      </c>
      <c r="AH59" s="871">
        <f>1963*8</f>
        <v>15704</v>
      </c>
      <c r="AI59" s="871">
        <f t="shared" si="20"/>
        <v>45338.5</v>
      </c>
      <c r="AJ59" s="871">
        <f t="shared" si="21"/>
        <v>11335</v>
      </c>
      <c r="AK59" s="872">
        <f t="shared" si="25"/>
        <v>159287.41737003456</v>
      </c>
      <c r="AL59" s="872">
        <f t="shared" si="23"/>
        <v>29346</v>
      </c>
      <c r="AM59" s="1517"/>
      <c r="AN59" s="1517"/>
      <c r="AO59" s="1517">
        <v>-59</v>
      </c>
      <c r="AP59" s="1517"/>
      <c r="AQ59" s="1521">
        <f t="shared" si="24"/>
        <v>-94</v>
      </c>
    </row>
    <row r="60" spans="1:43" s="795" customFormat="1" ht="17.25" customHeight="1">
      <c r="A60" s="836">
        <v>56</v>
      </c>
      <c r="B60" s="837" t="s">
        <v>230</v>
      </c>
      <c r="C60" s="838">
        <v>5</v>
      </c>
      <c r="D60" s="839">
        <f>'Table 3 Levels 1&amp;2'!AL63*90%</f>
        <v>4589.6942743758955</v>
      </c>
      <c r="E60" s="839">
        <f t="shared" si="2"/>
        <v>22948.471371879477</v>
      </c>
      <c r="F60" s="840">
        <f>'Table 4 Level 3'!P61*90%</f>
        <v>553.19400000000007</v>
      </c>
      <c r="G60" s="840">
        <f t="shared" si="3"/>
        <v>2765.9700000000003</v>
      </c>
      <c r="H60" s="840">
        <f t="shared" si="4"/>
        <v>25714.441371879479</v>
      </c>
      <c r="I60" s="840">
        <f>'Oct midyear adj_LA virtual'!K61</f>
        <v>15428.664823127689</v>
      </c>
      <c r="J60" s="840">
        <f>'Feb midyear adj_LA virtual '!K61</f>
        <v>-5142.8882743758959</v>
      </c>
      <c r="K60" s="840">
        <f t="shared" si="5"/>
        <v>10285.776548751794</v>
      </c>
      <c r="L60" s="840">
        <f t="shared" si="6"/>
        <v>36000.217920631272</v>
      </c>
      <c r="M60" s="840">
        <f t="shared" si="7"/>
        <v>-90</v>
      </c>
      <c r="N60" s="841">
        <f t="shared" si="8"/>
        <v>35910.217920631272</v>
      </c>
      <c r="O60" s="841">
        <v>0</v>
      </c>
      <c r="P60" s="842">
        <f t="shared" si="9"/>
        <v>35910.217920631272</v>
      </c>
      <c r="Q60" s="843"/>
      <c r="R60" s="842">
        <f t="shared" si="10"/>
        <v>35910.217920631272</v>
      </c>
      <c r="S60" s="842">
        <f>2138*8</f>
        <v>17104</v>
      </c>
      <c r="T60" s="842">
        <f t="shared" si="11"/>
        <v>18806.217920631272</v>
      </c>
      <c r="U60" s="842">
        <f t="shared" si="12"/>
        <v>4702</v>
      </c>
      <c r="V60" s="844">
        <f>'[11]FY2011-12_Final'!$K63*90%</f>
        <v>2614.5</v>
      </c>
      <c r="W60" s="845">
        <f t="shared" si="1"/>
        <v>13072.5</v>
      </c>
      <c r="X60" s="846">
        <f>'Oct midyear adj_LA virtual'!E61</f>
        <v>3</v>
      </c>
      <c r="Y60" s="845">
        <f t="shared" si="13"/>
        <v>7843.5</v>
      </c>
      <c r="Z60" s="846">
        <f>'Feb midyear adj_LA virtual '!E61</f>
        <v>-2</v>
      </c>
      <c r="AA60" s="845">
        <f t="shared" si="14"/>
        <v>-2614.5</v>
      </c>
      <c r="AB60" s="845">
        <f t="shared" si="15"/>
        <v>5229</v>
      </c>
      <c r="AC60" s="845">
        <f t="shared" si="16"/>
        <v>18301.5</v>
      </c>
      <c r="AD60" s="845">
        <f t="shared" si="17"/>
        <v>-46</v>
      </c>
      <c r="AE60" s="845">
        <f t="shared" si="18"/>
        <v>18255.5</v>
      </c>
      <c r="AF60" s="844">
        <v>0</v>
      </c>
      <c r="AG60" s="847">
        <f t="shared" si="19"/>
        <v>18255.5</v>
      </c>
      <c r="AH60" s="847">
        <f>1069*8</f>
        <v>8552</v>
      </c>
      <c r="AI60" s="847">
        <f t="shared" si="20"/>
        <v>9703.5</v>
      </c>
      <c r="AJ60" s="847">
        <f t="shared" si="21"/>
        <v>2426</v>
      </c>
      <c r="AK60" s="848">
        <f t="shared" si="25"/>
        <v>54165.717920631272</v>
      </c>
      <c r="AL60" s="848">
        <f t="shared" si="23"/>
        <v>7128</v>
      </c>
      <c r="AM60" s="1517"/>
      <c r="AN60" s="1517"/>
      <c r="AO60" s="1517">
        <v>-32</v>
      </c>
      <c r="AP60" s="1517"/>
      <c r="AQ60" s="1521">
        <f t="shared" si="24"/>
        <v>-14</v>
      </c>
    </row>
    <row r="61" spans="1:43" s="795" customFormat="1" ht="17.25" customHeight="1">
      <c r="A61" s="836">
        <v>57</v>
      </c>
      <c r="B61" s="837" t="s">
        <v>231</v>
      </c>
      <c r="C61" s="849">
        <v>11</v>
      </c>
      <c r="D61" s="850">
        <f>'Table 3 Levels 1&amp;2'!AL64*90%</f>
        <v>4070.7778701927314</v>
      </c>
      <c r="E61" s="850">
        <f t="shared" si="2"/>
        <v>44778.556572120047</v>
      </c>
      <c r="F61" s="851">
        <f>'Table 4 Level 3'!P62*90%</f>
        <v>688.05899999999997</v>
      </c>
      <c r="G61" s="851">
        <f t="shared" si="3"/>
        <v>7568.6489999999994</v>
      </c>
      <c r="H61" s="851">
        <f t="shared" si="4"/>
        <v>52347.205572120045</v>
      </c>
      <c r="I61" s="851">
        <f>'Oct midyear adj_LA virtual'!K62</f>
        <v>0</v>
      </c>
      <c r="J61" s="851">
        <f>'Feb midyear adj_LA virtual '!K62</f>
        <v>-2379.4184350963656</v>
      </c>
      <c r="K61" s="851">
        <f t="shared" si="5"/>
        <v>-2379.4184350963656</v>
      </c>
      <c r="L61" s="851">
        <f t="shared" si="6"/>
        <v>49967.787137023683</v>
      </c>
      <c r="M61" s="851">
        <f t="shared" si="7"/>
        <v>-125</v>
      </c>
      <c r="N61" s="852">
        <f t="shared" si="8"/>
        <v>49842.787137023683</v>
      </c>
      <c r="O61" s="852">
        <v>0</v>
      </c>
      <c r="P61" s="853">
        <f t="shared" si="9"/>
        <v>49842.787137023683</v>
      </c>
      <c r="Q61" s="854"/>
      <c r="R61" s="853">
        <f t="shared" si="10"/>
        <v>49842.787137023683</v>
      </c>
      <c r="S61" s="853">
        <f>4351*8</f>
        <v>34808</v>
      </c>
      <c r="T61" s="853">
        <f t="shared" si="11"/>
        <v>15034.787137023683</v>
      </c>
      <c r="U61" s="853">
        <f t="shared" si="12"/>
        <v>3759</v>
      </c>
      <c r="V61" s="855">
        <f>'[11]FY2011-12_Final'!$K64*90%</f>
        <v>2731.5</v>
      </c>
      <c r="W61" s="856">
        <f t="shared" si="1"/>
        <v>30046.5</v>
      </c>
      <c r="X61" s="857">
        <f>'Oct midyear adj_LA virtual'!E62</f>
        <v>0</v>
      </c>
      <c r="Y61" s="856">
        <f t="shared" si="13"/>
        <v>0</v>
      </c>
      <c r="Z61" s="857">
        <f>'Feb midyear adj_LA virtual '!E62</f>
        <v>-1</v>
      </c>
      <c r="AA61" s="856">
        <f t="shared" si="14"/>
        <v>-1365.75</v>
      </c>
      <c r="AB61" s="856">
        <f t="shared" si="15"/>
        <v>-1365.75</v>
      </c>
      <c r="AC61" s="856">
        <f t="shared" si="16"/>
        <v>28680.75</v>
      </c>
      <c r="AD61" s="856">
        <f t="shared" si="17"/>
        <v>-72</v>
      </c>
      <c r="AE61" s="856">
        <f t="shared" si="18"/>
        <v>28608.75</v>
      </c>
      <c r="AF61" s="855">
        <v>0</v>
      </c>
      <c r="AG61" s="858">
        <f t="shared" si="19"/>
        <v>28608.75</v>
      </c>
      <c r="AH61" s="858">
        <f>2478*8</f>
        <v>19824</v>
      </c>
      <c r="AI61" s="858">
        <f t="shared" si="20"/>
        <v>8784.75</v>
      </c>
      <c r="AJ61" s="858">
        <f t="shared" si="21"/>
        <v>2196</v>
      </c>
      <c r="AK61" s="859">
        <f t="shared" si="25"/>
        <v>78451.537137023683</v>
      </c>
      <c r="AL61" s="859">
        <f t="shared" si="23"/>
        <v>5955</v>
      </c>
      <c r="AM61" s="1517"/>
      <c r="AN61" s="1517"/>
      <c r="AO61" s="1517">
        <v>-75</v>
      </c>
      <c r="AP61" s="1517"/>
      <c r="AQ61" s="1521">
        <f t="shared" si="24"/>
        <v>3</v>
      </c>
    </row>
    <row r="62" spans="1:43" s="795" customFormat="1" ht="17.25" customHeight="1">
      <c r="A62" s="836">
        <v>58</v>
      </c>
      <c r="B62" s="837" t="s">
        <v>232</v>
      </c>
      <c r="C62" s="849">
        <v>24</v>
      </c>
      <c r="D62" s="850">
        <f>'Table 3 Levels 1&amp;2'!AL65*90%</f>
        <v>4756.468530368832</v>
      </c>
      <c r="E62" s="850">
        <f t="shared" si="2"/>
        <v>114155.24472885198</v>
      </c>
      <c r="F62" s="851">
        <f>'Table 4 Level 3'!P63*90%</f>
        <v>627.33600000000001</v>
      </c>
      <c r="G62" s="851">
        <f t="shared" si="3"/>
        <v>15056.064</v>
      </c>
      <c r="H62" s="851">
        <f t="shared" si="4"/>
        <v>129211.30872885197</v>
      </c>
      <c r="I62" s="851">
        <f>'Oct midyear adj_LA virtual'!K63</f>
        <v>37686.631712581824</v>
      </c>
      <c r="J62" s="851">
        <f>'Feb midyear adj_LA virtual '!K63</f>
        <v>10767.609060737665</v>
      </c>
      <c r="K62" s="851">
        <f t="shared" si="5"/>
        <v>48454.240773319485</v>
      </c>
      <c r="L62" s="851">
        <f t="shared" si="6"/>
        <v>177665.54950217146</v>
      </c>
      <c r="M62" s="851">
        <f t="shared" si="7"/>
        <v>-444</v>
      </c>
      <c r="N62" s="852">
        <f t="shared" si="8"/>
        <v>177221.54950217146</v>
      </c>
      <c r="O62" s="852">
        <v>0</v>
      </c>
      <c r="P62" s="853">
        <f t="shared" si="9"/>
        <v>177221.54950217146</v>
      </c>
      <c r="Q62" s="854"/>
      <c r="R62" s="853">
        <f t="shared" si="10"/>
        <v>177221.54950217146</v>
      </c>
      <c r="S62" s="853">
        <f>10741*8</f>
        <v>85928</v>
      </c>
      <c r="T62" s="853">
        <f t="shared" si="11"/>
        <v>91293.54950217146</v>
      </c>
      <c r="U62" s="853">
        <f t="shared" si="12"/>
        <v>22823</v>
      </c>
      <c r="V62" s="855">
        <f>'[11]FY2011-12_Final'!$K65*90%</f>
        <v>1574.1000000000001</v>
      </c>
      <c r="W62" s="856">
        <f t="shared" si="1"/>
        <v>37778.400000000001</v>
      </c>
      <c r="X62" s="857">
        <f>'Oct midyear adj_LA virtual'!E63</f>
        <v>7</v>
      </c>
      <c r="Y62" s="856">
        <f t="shared" si="13"/>
        <v>11018.7</v>
      </c>
      <c r="Z62" s="857">
        <f>'Feb midyear adj_LA virtual '!E63</f>
        <v>4</v>
      </c>
      <c r="AA62" s="856">
        <f t="shared" si="14"/>
        <v>3148.2000000000003</v>
      </c>
      <c r="AB62" s="856">
        <f t="shared" si="15"/>
        <v>14166.900000000001</v>
      </c>
      <c r="AC62" s="856">
        <f t="shared" si="16"/>
        <v>51945.3</v>
      </c>
      <c r="AD62" s="856">
        <f t="shared" si="17"/>
        <v>-130</v>
      </c>
      <c r="AE62" s="856">
        <f t="shared" si="18"/>
        <v>51815.3</v>
      </c>
      <c r="AF62" s="855">
        <v>0</v>
      </c>
      <c r="AG62" s="858">
        <f t="shared" si="19"/>
        <v>51815.3</v>
      </c>
      <c r="AH62" s="858">
        <f>3183*8</f>
        <v>25464</v>
      </c>
      <c r="AI62" s="858">
        <f t="shared" si="20"/>
        <v>26351.300000000003</v>
      </c>
      <c r="AJ62" s="858">
        <f t="shared" si="21"/>
        <v>6588</v>
      </c>
      <c r="AK62" s="859">
        <f t="shared" si="25"/>
        <v>229036.84950217145</v>
      </c>
      <c r="AL62" s="859">
        <f t="shared" si="23"/>
        <v>29411</v>
      </c>
      <c r="AM62" s="1517"/>
      <c r="AN62" s="1517"/>
      <c r="AO62" s="1517">
        <v>-96</v>
      </c>
      <c r="AP62" s="1517"/>
      <c r="AQ62" s="1521">
        <f t="shared" si="24"/>
        <v>-34</v>
      </c>
    </row>
    <row r="63" spans="1:43" s="795" customFormat="1" ht="17.25" customHeight="1">
      <c r="A63" s="836">
        <v>59</v>
      </c>
      <c r="B63" s="837" t="s">
        <v>233</v>
      </c>
      <c r="C63" s="849">
        <v>9</v>
      </c>
      <c r="D63" s="850">
        <f>'Table 3 Levels 1&amp;2'!AL66*90%</f>
        <v>5589.7772228340255</v>
      </c>
      <c r="E63" s="850">
        <f t="shared" si="2"/>
        <v>50307.995005506229</v>
      </c>
      <c r="F63" s="851">
        <f>'Table 4 Level 3'!P64*90%</f>
        <v>620.56799999999998</v>
      </c>
      <c r="G63" s="851">
        <f t="shared" si="3"/>
        <v>5585.1120000000001</v>
      </c>
      <c r="H63" s="851">
        <f t="shared" si="4"/>
        <v>55893.10700550623</v>
      </c>
      <c r="I63" s="851">
        <f>'Oct midyear adj_LA virtual'!K64</f>
        <v>-12420.690445668051</v>
      </c>
      <c r="J63" s="851">
        <f>'Feb midyear adj_LA virtual '!K64</f>
        <v>3105.1726114170128</v>
      </c>
      <c r="K63" s="851">
        <f t="shared" si="5"/>
        <v>-9315.5178342510389</v>
      </c>
      <c r="L63" s="851">
        <f t="shared" si="6"/>
        <v>46577.589171255197</v>
      </c>
      <c r="M63" s="851">
        <f t="shared" si="7"/>
        <v>-116</v>
      </c>
      <c r="N63" s="852">
        <f t="shared" si="8"/>
        <v>46461.589171255197</v>
      </c>
      <c r="O63" s="852">
        <v>0</v>
      </c>
      <c r="P63" s="853">
        <f t="shared" si="9"/>
        <v>46461.589171255197</v>
      </c>
      <c r="Q63" s="854"/>
      <c r="R63" s="853">
        <f t="shared" si="10"/>
        <v>46461.589171255197</v>
      </c>
      <c r="S63" s="853">
        <f>4646*8</f>
        <v>37168</v>
      </c>
      <c r="T63" s="853">
        <f t="shared" si="11"/>
        <v>9293.5891712551966</v>
      </c>
      <c r="U63" s="853">
        <f t="shared" si="12"/>
        <v>2323</v>
      </c>
      <c r="V63" s="855">
        <f>'[11]FY2011-12_Final'!$K66*90%</f>
        <v>1479.6000000000001</v>
      </c>
      <c r="W63" s="856">
        <f t="shared" si="1"/>
        <v>13316.400000000001</v>
      </c>
      <c r="X63" s="857">
        <f>'Oct midyear adj_LA virtual'!E64</f>
        <v>-2</v>
      </c>
      <c r="Y63" s="856">
        <f t="shared" si="13"/>
        <v>-2959.2000000000003</v>
      </c>
      <c r="Z63" s="857">
        <f>'Feb midyear adj_LA virtual '!E64</f>
        <v>1</v>
      </c>
      <c r="AA63" s="856">
        <f t="shared" si="14"/>
        <v>739.80000000000007</v>
      </c>
      <c r="AB63" s="856">
        <f t="shared" si="15"/>
        <v>-2219.4</v>
      </c>
      <c r="AC63" s="856">
        <f t="shared" si="16"/>
        <v>11097</v>
      </c>
      <c r="AD63" s="856">
        <f t="shared" si="17"/>
        <v>-28</v>
      </c>
      <c r="AE63" s="856">
        <f t="shared" si="18"/>
        <v>11069</v>
      </c>
      <c r="AF63" s="855">
        <v>0</v>
      </c>
      <c r="AG63" s="858">
        <f t="shared" si="19"/>
        <v>11069</v>
      </c>
      <c r="AH63" s="858">
        <f>1006*8</f>
        <v>8048</v>
      </c>
      <c r="AI63" s="858">
        <f t="shared" si="20"/>
        <v>3021</v>
      </c>
      <c r="AJ63" s="858">
        <f t="shared" si="21"/>
        <v>755</v>
      </c>
      <c r="AK63" s="859">
        <f t="shared" si="25"/>
        <v>57530.589171255197</v>
      </c>
      <c r="AL63" s="859">
        <f t="shared" si="23"/>
        <v>3078</v>
      </c>
      <c r="AM63" s="1517"/>
      <c r="AN63" s="1517"/>
      <c r="AO63" s="1517">
        <v>-30</v>
      </c>
      <c r="AP63" s="1517"/>
      <c r="AQ63" s="1521">
        <f t="shared" si="24"/>
        <v>2</v>
      </c>
    </row>
    <row r="64" spans="1:43" s="795" customFormat="1" ht="17.25" customHeight="1">
      <c r="A64" s="860">
        <v>60</v>
      </c>
      <c r="B64" s="861" t="s">
        <v>234</v>
      </c>
      <c r="C64" s="862">
        <v>16</v>
      </c>
      <c r="D64" s="863">
        <f>'Table 3 Levels 1&amp;2'!AL67*90%</f>
        <v>4422.4714493933088</v>
      </c>
      <c r="E64" s="863">
        <f t="shared" si="2"/>
        <v>70759.543190292941</v>
      </c>
      <c r="F64" s="864">
        <f>'Table 4 Level 3'!P65*90%</f>
        <v>534.63599999999997</v>
      </c>
      <c r="G64" s="864">
        <f t="shared" si="3"/>
        <v>8554.1759999999995</v>
      </c>
      <c r="H64" s="864">
        <f t="shared" si="4"/>
        <v>79313.719190292933</v>
      </c>
      <c r="I64" s="864">
        <f>'Oct midyear adj_LA virtual'!K65</f>
        <v>-24785.537246966542</v>
      </c>
      <c r="J64" s="864">
        <f>'Feb midyear adj_LA virtual '!K65</f>
        <v>22306.983522269889</v>
      </c>
      <c r="K64" s="864">
        <f t="shared" si="5"/>
        <v>-2478.5537246966524</v>
      </c>
      <c r="L64" s="864">
        <f t="shared" si="6"/>
        <v>76835.165465596277</v>
      </c>
      <c r="M64" s="864">
        <f t="shared" si="7"/>
        <v>-192</v>
      </c>
      <c r="N64" s="865">
        <f t="shared" si="8"/>
        <v>76643.165465596277</v>
      </c>
      <c r="O64" s="865">
        <v>0</v>
      </c>
      <c r="P64" s="866">
        <f t="shared" si="9"/>
        <v>76643.165465596277</v>
      </c>
      <c r="Q64" s="867"/>
      <c r="R64" s="866">
        <f t="shared" si="10"/>
        <v>76643.165465596277</v>
      </c>
      <c r="S64" s="866">
        <f>6593*8</f>
        <v>52744</v>
      </c>
      <c r="T64" s="866">
        <f t="shared" si="11"/>
        <v>23899.165465596277</v>
      </c>
      <c r="U64" s="866">
        <f t="shared" si="12"/>
        <v>5975</v>
      </c>
      <c r="V64" s="868">
        <f>'[11]FY2011-12_Final'!$K67*90%</f>
        <v>3472.2000000000003</v>
      </c>
      <c r="W64" s="869">
        <f t="shared" si="1"/>
        <v>55555.200000000004</v>
      </c>
      <c r="X64" s="870">
        <f>'Oct midyear adj_LA virtual'!E65</f>
        <v>-5</v>
      </c>
      <c r="Y64" s="869">
        <f t="shared" si="13"/>
        <v>-17361</v>
      </c>
      <c r="Z64" s="870">
        <f>'Feb midyear adj_LA virtual '!E65</f>
        <v>9</v>
      </c>
      <c r="AA64" s="869">
        <f t="shared" si="14"/>
        <v>15624.900000000001</v>
      </c>
      <c r="AB64" s="869">
        <f t="shared" si="15"/>
        <v>-1736.0999999999985</v>
      </c>
      <c r="AC64" s="869">
        <f t="shared" si="16"/>
        <v>53819.100000000006</v>
      </c>
      <c r="AD64" s="869">
        <f t="shared" si="17"/>
        <v>-135</v>
      </c>
      <c r="AE64" s="869">
        <f t="shared" si="18"/>
        <v>53684.100000000006</v>
      </c>
      <c r="AF64" s="868">
        <v>0</v>
      </c>
      <c r="AG64" s="871">
        <f t="shared" si="19"/>
        <v>53684.100000000006</v>
      </c>
      <c r="AH64" s="871">
        <f>4373*8</f>
        <v>34984</v>
      </c>
      <c r="AI64" s="871">
        <f t="shared" si="20"/>
        <v>18700.100000000006</v>
      </c>
      <c r="AJ64" s="871">
        <f t="shared" si="21"/>
        <v>4675</v>
      </c>
      <c r="AK64" s="872">
        <f t="shared" si="25"/>
        <v>130327.26546559628</v>
      </c>
      <c r="AL64" s="872">
        <f t="shared" si="23"/>
        <v>10650</v>
      </c>
      <c r="AM64" s="1517"/>
      <c r="AN64" s="1517"/>
      <c r="AO64" s="1517">
        <v>-132</v>
      </c>
      <c r="AP64" s="1517"/>
      <c r="AQ64" s="1521">
        <f t="shared" si="24"/>
        <v>-3</v>
      </c>
    </row>
    <row r="65" spans="1:43" s="795" customFormat="1" ht="17.25" customHeight="1">
      <c r="A65" s="836">
        <v>61</v>
      </c>
      <c r="B65" s="837" t="s">
        <v>235</v>
      </c>
      <c r="C65" s="838">
        <v>3</v>
      </c>
      <c r="D65" s="839">
        <f>'Table 3 Levels 1&amp;2'!AL68*90%</f>
        <v>2631.4655293498095</v>
      </c>
      <c r="E65" s="839">
        <f t="shared" si="2"/>
        <v>7894.3965880494288</v>
      </c>
      <c r="F65" s="840">
        <f>'Table 4 Level 3'!P66*90%</f>
        <v>750.33899999999994</v>
      </c>
      <c r="G65" s="840">
        <f t="shared" si="3"/>
        <v>2251.0169999999998</v>
      </c>
      <c r="H65" s="840">
        <f t="shared" si="4"/>
        <v>10145.413588049429</v>
      </c>
      <c r="I65" s="840">
        <f>'Oct midyear adj_LA virtual'!K66</f>
        <v>40581.654352197715</v>
      </c>
      <c r="J65" s="840">
        <f>'Feb midyear adj_LA virtual '!K66</f>
        <v>0</v>
      </c>
      <c r="K65" s="840">
        <f t="shared" si="5"/>
        <v>40581.654352197715</v>
      </c>
      <c r="L65" s="840">
        <f t="shared" si="6"/>
        <v>50727.067940247143</v>
      </c>
      <c r="M65" s="840">
        <f t="shared" si="7"/>
        <v>-127</v>
      </c>
      <c r="N65" s="841">
        <f t="shared" si="8"/>
        <v>50600.067940247143</v>
      </c>
      <c r="O65" s="841">
        <v>0</v>
      </c>
      <c r="P65" s="842">
        <f t="shared" si="9"/>
        <v>50600.067940247143</v>
      </c>
      <c r="Q65" s="843"/>
      <c r="R65" s="842">
        <f t="shared" si="10"/>
        <v>50600.067940247143</v>
      </c>
      <c r="S65" s="842">
        <f>843*8</f>
        <v>6744</v>
      </c>
      <c r="T65" s="842">
        <f t="shared" si="11"/>
        <v>43856.067940247143</v>
      </c>
      <c r="U65" s="842">
        <f t="shared" si="12"/>
        <v>10964</v>
      </c>
      <c r="V65" s="844">
        <f>'[11]FY2011-12_Final'!$K68*90%</f>
        <v>5440.5</v>
      </c>
      <c r="W65" s="845">
        <f t="shared" si="1"/>
        <v>16321.5</v>
      </c>
      <c r="X65" s="846">
        <f>'Oct midyear adj_LA virtual'!E66</f>
        <v>12</v>
      </c>
      <c r="Y65" s="845">
        <f t="shared" si="13"/>
        <v>65286</v>
      </c>
      <c r="Z65" s="846">
        <f>'Feb midyear adj_LA virtual '!E66</f>
        <v>0</v>
      </c>
      <c r="AA65" s="845">
        <f t="shared" si="14"/>
        <v>0</v>
      </c>
      <c r="AB65" s="845">
        <f t="shared" si="15"/>
        <v>65286</v>
      </c>
      <c r="AC65" s="845">
        <f t="shared" si="16"/>
        <v>81607.5</v>
      </c>
      <c r="AD65" s="845">
        <f t="shared" si="17"/>
        <v>-204</v>
      </c>
      <c r="AE65" s="845">
        <f t="shared" si="18"/>
        <v>81403.5</v>
      </c>
      <c r="AF65" s="844">
        <v>0</v>
      </c>
      <c r="AG65" s="847">
        <f t="shared" si="19"/>
        <v>81403.5</v>
      </c>
      <c r="AH65" s="847">
        <f>1371*8</f>
        <v>10968</v>
      </c>
      <c r="AI65" s="847">
        <f t="shared" si="20"/>
        <v>70435.5</v>
      </c>
      <c r="AJ65" s="847">
        <f t="shared" si="21"/>
        <v>17609</v>
      </c>
      <c r="AK65" s="848">
        <f t="shared" si="25"/>
        <v>132003.56794024713</v>
      </c>
      <c r="AL65" s="848">
        <f t="shared" si="23"/>
        <v>28573</v>
      </c>
      <c r="AM65" s="1517"/>
      <c r="AN65" s="1517"/>
      <c r="AO65" s="1517">
        <v>-41</v>
      </c>
      <c r="AP65" s="1517"/>
      <c r="AQ65" s="1521">
        <f t="shared" si="24"/>
        <v>-163</v>
      </c>
    </row>
    <row r="66" spans="1:43" s="795" customFormat="1" ht="17.25" customHeight="1">
      <c r="A66" s="836">
        <v>62</v>
      </c>
      <c r="B66" s="837" t="s">
        <v>236</v>
      </c>
      <c r="C66" s="849">
        <v>3</v>
      </c>
      <c r="D66" s="850">
        <f>'Table 3 Levels 1&amp;2'!AL69*90%</f>
        <v>4952.451925981527</v>
      </c>
      <c r="E66" s="850">
        <f t="shared" si="2"/>
        <v>14857.35577794458</v>
      </c>
      <c r="F66" s="851">
        <f>'Table 4 Level 3'!P67*90%</f>
        <v>464.47200000000004</v>
      </c>
      <c r="G66" s="851">
        <f t="shared" si="3"/>
        <v>1393.4160000000002</v>
      </c>
      <c r="H66" s="851">
        <f t="shared" si="4"/>
        <v>16250.771777944581</v>
      </c>
      <c r="I66" s="851">
        <f>'Oct midyear adj_LA virtual'!K67</f>
        <v>-5416.9239259815267</v>
      </c>
      <c r="J66" s="851">
        <f>'Feb midyear adj_LA virtual '!K67</f>
        <v>0</v>
      </c>
      <c r="K66" s="851">
        <f t="shared" si="5"/>
        <v>-5416.9239259815267</v>
      </c>
      <c r="L66" s="851">
        <f t="shared" si="6"/>
        <v>10833.847851963055</v>
      </c>
      <c r="M66" s="851">
        <f t="shared" si="7"/>
        <v>-27</v>
      </c>
      <c r="N66" s="852">
        <f t="shared" si="8"/>
        <v>10806.847851963055</v>
      </c>
      <c r="O66" s="852">
        <v>0</v>
      </c>
      <c r="P66" s="853">
        <f t="shared" si="9"/>
        <v>10806.847851963055</v>
      </c>
      <c r="Q66" s="854"/>
      <c r="R66" s="853">
        <f t="shared" si="10"/>
        <v>10806.847851963055</v>
      </c>
      <c r="S66" s="853">
        <f>1351*8</f>
        <v>10808</v>
      </c>
      <c r="T66" s="853">
        <f t="shared" si="11"/>
        <v>-1.152148036944709</v>
      </c>
      <c r="U66" s="853">
        <f t="shared" si="12"/>
        <v>0</v>
      </c>
      <c r="V66" s="855">
        <f>'[11]FY2011-12_Final'!$K69*90%</f>
        <v>1512.9</v>
      </c>
      <c r="W66" s="856">
        <f t="shared" si="1"/>
        <v>4538.7000000000007</v>
      </c>
      <c r="X66" s="857">
        <f>'Oct midyear adj_LA virtual'!E67</f>
        <v>-1</v>
      </c>
      <c r="Y66" s="856">
        <f t="shared" si="13"/>
        <v>-1512.9</v>
      </c>
      <c r="Z66" s="857">
        <f>'Feb midyear adj_LA virtual '!E67</f>
        <v>0</v>
      </c>
      <c r="AA66" s="856">
        <f t="shared" si="14"/>
        <v>0</v>
      </c>
      <c r="AB66" s="856">
        <f t="shared" si="15"/>
        <v>-1512.9</v>
      </c>
      <c r="AC66" s="856">
        <f t="shared" si="16"/>
        <v>3025.8000000000006</v>
      </c>
      <c r="AD66" s="856">
        <f t="shared" si="17"/>
        <v>-8</v>
      </c>
      <c r="AE66" s="856">
        <f t="shared" si="18"/>
        <v>3017.8000000000006</v>
      </c>
      <c r="AF66" s="855">
        <v>0</v>
      </c>
      <c r="AG66" s="858">
        <f t="shared" si="19"/>
        <v>3017.8000000000006</v>
      </c>
      <c r="AH66" s="858">
        <f>314*8</f>
        <v>2512</v>
      </c>
      <c r="AI66" s="858">
        <f t="shared" si="20"/>
        <v>505.80000000000064</v>
      </c>
      <c r="AJ66" s="858">
        <f t="shared" si="21"/>
        <v>126</v>
      </c>
      <c r="AK66" s="859">
        <f t="shared" si="25"/>
        <v>13824.647851963056</v>
      </c>
      <c r="AL66" s="859">
        <f t="shared" si="23"/>
        <v>126</v>
      </c>
      <c r="AM66" s="1517"/>
      <c r="AN66" s="1517"/>
      <c r="AO66" s="1517">
        <v>-9</v>
      </c>
      <c r="AP66" s="1517"/>
      <c r="AQ66" s="1521">
        <f t="shared" si="24"/>
        <v>1</v>
      </c>
    </row>
    <row r="67" spans="1:43" s="795" customFormat="1" ht="17.25" customHeight="1">
      <c r="A67" s="836">
        <v>63</v>
      </c>
      <c r="B67" s="837" t="s">
        <v>237</v>
      </c>
      <c r="C67" s="849">
        <v>0</v>
      </c>
      <c r="D67" s="850">
        <f>'Table 3 Levels 1&amp;2'!AL70*90%</f>
        <v>3822.1503336417391</v>
      </c>
      <c r="E67" s="850">
        <f t="shared" si="2"/>
        <v>0</v>
      </c>
      <c r="F67" s="851">
        <f>'Table 4 Level 3'!P68*90%</f>
        <v>681.11099999999999</v>
      </c>
      <c r="G67" s="851">
        <f t="shared" si="3"/>
        <v>0</v>
      </c>
      <c r="H67" s="851">
        <f t="shared" si="4"/>
        <v>0</v>
      </c>
      <c r="I67" s="851">
        <f>'Oct midyear adj_LA virtual'!K68</f>
        <v>4503.2613336417389</v>
      </c>
      <c r="J67" s="851">
        <f>'Feb midyear adj_LA virtual '!K68</f>
        <v>11258.153334104347</v>
      </c>
      <c r="K67" s="851">
        <f t="shared" si="5"/>
        <v>15761.414667746085</v>
      </c>
      <c r="L67" s="851">
        <f t="shared" si="6"/>
        <v>15761.414667746085</v>
      </c>
      <c r="M67" s="851">
        <f t="shared" si="7"/>
        <v>-39</v>
      </c>
      <c r="N67" s="852">
        <f t="shared" si="8"/>
        <v>15722.414667746085</v>
      </c>
      <c r="O67" s="852">
        <v>0</v>
      </c>
      <c r="P67" s="853">
        <f t="shared" si="9"/>
        <v>15722.414667746085</v>
      </c>
      <c r="Q67" s="854"/>
      <c r="R67" s="853">
        <f t="shared" si="10"/>
        <v>15722.414667746085</v>
      </c>
      <c r="S67" s="853">
        <f>0*8</f>
        <v>0</v>
      </c>
      <c r="T67" s="853">
        <f t="shared" si="11"/>
        <v>15722.414667746085</v>
      </c>
      <c r="U67" s="853">
        <f t="shared" si="12"/>
        <v>3931</v>
      </c>
      <c r="V67" s="855">
        <f>'[11]FY2011-12_Final'!$K70*90%</f>
        <v>6282.9000000000005</v>
      </c>
      <c r="W67" s="856">
        <f t="shared" si="1"/>
        <v>0</v>
      </c>
      <c r="X67" s="857">
        <f>'Oct midyear adj_LA virtual'!E68</f>
        <v>1</v>
      </c>
      <c r="Y67" s="856">
        <f t="shared" si="13"/>
        <v>6282.9000000000005</v>
      </c>
      <c r="Z67" s="857">
        <f>'Feb midyear adj_LA virtual '!E68</f>
        <v>5</v>
      </c>
      <c r="AA67" s="856">
        <f t="shared" si="14"/>
        <v>15707.250000000002</v>
      </c>
      <c r="AB67" s="856">
        <f t="shared" si="15"/>
        <v>21990.15</v>
      </c>
      <c r="AC67" s="856">
        <f t="shared" si="16"/>
        <v>21990.15</v>
      </c>
      <c r="AD67" s="856">
        <f t="shared" si="17"/>
        <v>-55</v>
      </c>
      <c r="AE67" s="856">
        <f t="shared" si="18"/>
        <v>21935.15</v>
      </c>
      <c r="AF67" s="855">
        <v>0</v>
      </c>
      <c r="AG67" s="858">
        <f t="shared" si="19"/>
        <v>21935.15</v>
      </c>
      <c r="AH67" s="858">
        <f>0*8</f>
        <v>0</v>
      </c>
      <c r="AI67" s="858">
        <f t="shared" si="20"/>
        <v>21935.15</v>
      </c>
      <c r="AJ67" s="858">
        <f t="shared" si="21"/>
        <v>5484</v>
      </c>
      <c r="AK67" s="859">
        <f t="shared" si="25"/>
        <v>37657.56466774609</v>
      </c>
      <c r="AL67" s="859">
        <f t="shared" si="23"/>
        <v>9415</v>
      </c>
      <c r="AM67" s="1517"/>
      <c r="AN67" s="1517"/>
      <c r="AO67" s="1517">
        <v>0</v>
      </c>
      <c r="AP67" s="1517"/>
      <c r="AQ67" s="1521">
        <f t="shared" si="24"/>
        <v>-55</v>
      </c>
    </row>
    <row r="68" spans="1:43" s="795" customFormat="1" ht="17.25" customHeight="1">
      <c r="A68" s="836">
        <v>64</v>
      </c>
      <c r="B68" s="837" t="s">
        <v>238</v>
      </c>
      <c r="C68" s="849">
        <v>1</v>
      </c>
      <c r="D68" s="850">
        <f>'Table 3 Levels 1&amp;2'!AL71*90%</f>
        <v>5271.286266696583</v>
      </c>
      <c r="E68" s="850">
        <f t="shared" si="2"/>
        <v>5271.286266696583</v>
      </c>
      <c r="F68" s="851">
        <f>'Table 4 Level 3'!P69*90%</f>
        <v>533.39400000000001</v>
      </c>
      <c r="G68" s="851">
        <f t="shared" si="3"/>
        <v>533.39400000000001</v>
      </c>
      <c r="H68" s="851">
        <f t="shared" si="4"/>
        <v>5804.6802666965832</v>
      </c>
      <c r="I68" s="851">
        <f>'Oct midyear adj_LA virtual'!K69</f>
        <v>11609.360533393166</v>
      </c>
      <c r="J68" s="851">
        <f>'Feb midyear adj_LA virtual '!K69</f>
        <v>-2902.3401333482916</v>
      </c>
      <c r="K68" s="851">
        <f t="shared" si="5"/>
        <v>8707.0204000448757</v>
      </c>
      <c r="L68" s="851">
        <f t="shared" si="6"/>
        <v>14511.700666741461</v>
      </c>
      <c r="M68" s="851">
        <f t="shared" si="7"/>
        <v>-36</v>
      </c>
      <c r="N68" s="852">
        <f t="shared" si="8"/>
        <v>14475.700666741461</v>
      </c>
      <c r="O68" s="852">
        <v>0</v>
      </c>
      <c r="P68" s="853">
        <f t="shared" si="9"/>
        <v>14475.700666741461</v>
      </c>
      <c r="Q68" s="854"/>
      <c r="R68" s="853">
        <f t="shared" si="10"/>
        <v>14475.700666741461</v>
      </c>
      <c r="S68" s="853">
        <f>482*8</f>
        <v>3856</v>
      </c>
      <c r="T68" s="853">
        <f t="shared" si="11"/>
        <v>10619.700666741461</v>
      </c>
      <c r="U68" s="853">
        <f t="shared" si="12"/>
        <v>2655</v>
      </c>
      <c r="V68" s="855">
        <f>'[11]FY2011-12_Final'!$K71*90%</f>
        <v>2338.2000000000003</v>
      </c>
      <c r="W68" s="856">
        <f t="shared" si="1"/>
        <v>2338.2000000000003</v>
      </c>
      <c r="X68" s="857">
        <f>'Oct midyear adj_LA virtual'!E69</f>
        <v>2</v>
      </c>
      <c r="Y68" s="856">
        <f t="shared" si="13"/>
        <v>4676.4000000000005</v>
      </c>
      <c r="Z68" s="857">
        <f>'Feb midyear adj_LA virtual '!E69</f>
        <v>-1</v>
      </c>
      <c r="AA68" s="856">
        <f t="shared" si="14"/>
        <v>-1169.1000000000001</v>
      </c>
      <c r="AB68" s="856">
        <f t="shared" si="15"/>
        <v>3507.3</v>
      </c>
      <c r="AC68" s="856">
        <f t="shared" si="16"/>
        <v>5845.5</v>
      </c>
      <c r="AD68" s="856">
        <f t="shared" si="17"/>
        <v>-15</v>
      </c>
      <c r="AE68" s="856">
        <f t="shared" si="18"/>
        <v>5830.5</v>
      </c>
      <c r="AF68" s="855">
        <v>0</v>
      </c>
      <c r="AG68" s="858">
        <f t="shared" si="19"/>
        <v>5830.5</v>
      </c>
      <c r="AH68" s="858">
        <f>189*8</f>
        <v>1512</v>
      </c>
      <c r="AI68" s="858">
        <f t="shared" si="20"/>
        <v>4318.5</v>
      </c>
      <c r="AJ68" s="858">
        <f t="shared" si="21"/>
        <v>1080</v>
      </c>
      <c r="AK68" s="859">
        <f t="shared" si="25"/>
        <v>20306.200666741461</v>
      </c>
      <c r="AL68" s="859">
        <f t="shared" si="23"/>
        <v>3735</v>
      </c>
      <c r="AM68" s="1517"/>
      <c r="AN68" s="1517"/>
      <c r="AO68" s="1517">
        <v>-6</v>
      </c>
      <c r="AP68" s="1517"/>
      <c r="AQ68" s="1521">
        <f t="shared" si="24"/>
        <v>-9</v>
      </c>
    </row>
    <row r="69" spans="1:43" s="795" customFormat="1" ht="17.25" customHeight="1">
      <c r="A69" s="860">
        <v>65</v>
      </c>
      <c r="B69" s="861" t="s">
        <v>239</v>
      </c>
      <c r="C69" s="862">
        <v>0</v>
      </c>
      <c r="D69" s="863">
        <f>'Table 3 Levels 1&amp;2'!AL72*90%</f>
        <v>4058.1400565581794</v>
      </c>
      <c r="E69" s="863">
        <f t="shared" si="2"/>
        <v>0</v>
      </c>
      <c r="F69" s="864">
        <f>'Table 4 Level 3'!P70*90%</f>
        <v>746.20799999999997</v>
      </c>
      <c r="G69" s="864">
        <f t="shared" si="3"/>
        <v>0</v>
      </c>
      <c r="H69" s="864">
        <f t="shared" si="4"/>
        <v>0</v>
      </c>
      <c r="I69" s="864">
        <f>'Oct midyear adj_LA virtual'!K70</f>
        <v>28826.088339349077</v>
      </c>
      <c r="J69" s="864">
        <f>'Feb midyear adj_LA virtual '!K70</f>
        <v>7206.5220848372692</v>
      </c>
      <c r="K69" s="864">
        <f t="shared" si="5"/>
        <v>36032.610424186343</v>
      </c>
      <c r="L69" s="864">
        <f t="shared" si="6"/>
        <v>36032.610424186343</v>
      </c>
      <c r="M69" s="864">
        <f t="shared" si="7"/>
        <v>-90</v>
      </c>
      <c r="N69" s="865">
        <f t="shared" si="8"/>
        <v>35942.610424186343</v>
      </c>
      <c r="O69" s="865">
        <v>0</v>
      </c>
      <c r="P69" s="866">
        <f t="shared" si="9"/>
        <v>35942.610424186343</v>
      </c>
      <c r="Q69" s="867"/>
      <c r="R69" s="866">
        <f t="shared" si="10"/>
        <v>35942.610424186343</v>
      </c>
      <c r="S69" s="866">
        <f>0*8</f>
        <v>0</v>
      </c>
      <c r="T69" s="866">
        <f t="shared" si="11"/>
        <v>35942.610424186343</v>
      </c>
      <c r="U69" s="866">
        <f t="shared" si="12"/>
        <v>8986</v>
      </c>
      <c r="V69" s="868">
        <f>'[11]FY2011-12_Final'!$K72*90%</f>
        <v>4207.5</v>
      </c>
      <c r="W69" s="869">
        <f t="shared" ref="W69:W73" si="26">V69*C69</f>
        <v>0</v>
      </c>
      <c r="X69" s="870">
        <f>'Oct midyear adj_LA virtual'!E70</f>
        <v>6</v>
      </c>
      <c r="Y69" s="869">
        <f t="shared" si="13"/>
        <v>25245</v>
      </c>
      <c r="Z69" s="870">
        <f>'Feb midyear adj_LA virtual '!E70</f>
        <v>3</v>
      </c>
      <c r="AA69" s="869">
        <f t="shared" si="14"/>
        <v>6311.25</v>
      </c>
      <c r="AB69" s="869">
        <f t="shared" si="15"/>
        <v>31556.25</v>
      </c>
      <c r="AC69" s="869">
        <f t="shared" si="16"/>
        <v>31556.25</v>
      </c>
      <c r="AD69" s="869">
        <f t="shared" si="17"/>
        <v>-79</v>
      </c>
      <c r="AE69" s="869">
        <f t="shared" si="18"/>
        <v>31477.25</v>
      </c>
      <c r="AF69" s="868">
        <v>0</v>
      </c>
      <c r="AG69" s="871">
        <f t="shared" si="19"/>
        <v>31477.25</v>
      </c>
      <c r="AH69" s="871">
        <f>0*8</f>
        <v>0</v>
      </c>
      <c r="AI69" s="871">
        <f t="shared" si="20"/>
        <v>31477.25</v>
      </c>
      <c r="AJ69" s="871">
        <f t="shared" si="21"/>
        <v>7869</v>
      </c>
      <c r="AK69" s="872">
        <f t="shared" si="25"/>
        <v>67419.860424186336</v>
      </c>
      <c r="AL69" s="872">
        <f t="shared" si="23"/>
        <v>16855</v>
      </c>
      <c r="AM69" s="1517"/>
      <c r="AN69" s="1517"/>
      <c r="AO69" s="1517">
        <v>0</v>
      </c>
      <c r="AP69" s="1517"/>
      <c r="AQ69" s="1521">
        <f t="shared" si="24"/>
        <v>-79</v>
      </c>
    </row>
    <row r="70" spans="1:43" s="795" customFormat="1" ht="17.25" customHeight="1">
      <c r="A70" s="836">
        <v>66</v>
      </c>
      <c r="B70" s="837" t="s">
        <v>240</v>
      </c>
      <c r="C70" s="838">
        <v>0</v>
      </c>
      <c r="D70" s="839">
        <f>'Table 3 Levels 1&amp;2'!AL73*90%</f>
        <v>5548.4334996842617</v>
      </c>
      <c r="E70" s="839">
        <f t="shared" ref="E70:E73" si="27">C70*D70</f>
        <v>0</v>
      </c>
      <c r="F70" s="840">
        <f>'Table 4 Level 3'!P71*90%</f>
        <v>657.05399999999997</v>
      </c>
      <c r="G70" s="840">
        <f t="shared" ref="G70:G73" si="28">F70*C70</f>
        <v>0</v>
      </c>
      <c r="H70" s="840">
        <f t="shared" ref="H70:H73" si="29">E70+G70</f>
        <v>0</v>
      </c>
      <c r="I70" s="840">
        <f>'Oct midyear adj_LA virtual'!K71</f>
        <v>37232.924998105569</v>
      </c>
      <c r="J70" s="840">
        <f>'Feb midyear adj_LA virtual '!K71</f>
        <v>6205.4874996842618</v>
      </c>
      <c r="K70" s="840">
        <f t="shared" ref="K70:K73" si="30">I70+J70</f>
        <v>43438.412497789832</v>
      </c>
      <c r="L70" s="840">
        <f t="shared" ref="L70:L73" si="31">SUM(H70:J70)</f>
        <v>43438.412497789832</v>
      </c>
      <c r="M70" s="840">
        <f t="shared" ref="M70:M73" si="32">ROUND(-0.25%*L70,0)</f>
        <v>-109</v>
      </c>
      <c r="N70" s="841">
        <f t="shared" ref="N70:N73" si="33">L70+M70</f>
        <v>43329.412497789832</v>
      </c>
      <c r="O70" s="841">
        <v>0</v>
      </c>
      <c r="P70" s="842">
        <f t="shared" ref="P70:P73" si="34">SUM(N70:O70)</f>
        <v>43329.412497789832</v>
      </c>
      <c r="Q70" s="843"/>
      <c r="R70" s="842">
        <f t="shared" ref="R70:R73" si="35">P70+Q70</f>
        <v>43329.412497789832</v>
      </c>
      <c r="S70" s="842">
        <f>0*8</f>
        <v>0</v>
      </c>
      <c r="T70" s="842">
        <f t="shared" ref="T70:T73" si="36">R70-S70</f>
        <v>43329.412497789832</v>
      </c>
      <c r="U70" s="842">
        <f t="shared" ref="U70:U73" si="37">ROUND(T70/4,0)</f>
        <v>10832</v>
      </c>
      <c r="V70" s="844">
        <f>'[11]FY2011-12_Final'!$K73*90%</f>
        <v>3085.2000000000003</v>
      </c>
      <c r="W70" s="845">
        <f t="shared" si="26"/>
        <v>0</v>
      </c>
      <c r="X70" s="846">
        <f>'Oct midyear adj_LA virtual'!E71</f>
        <v>6</v>
      </c>
      <c r="Y70" s="845">
        <f t="shared" ref="Y70:Y73" si="38">X70*V70</f>
        <v>18511.2</v>
      </c>
      <c r="Z70" s="846">
        <f>'Feb midyear adj_LA virtual '!E71</f>
        <v>2</v>
      </c>
      <c r="AA70" s="845">
        <f t="shared" ref="AA70:AA73" si="39">(V70*0.5)*Z70</f>
        <v>3085.2000000000003</v>
      </c>
      <c r="AB70" s="845">
        <f t="shared" ref="AB70:AB73" si="40">Y70+AA70</f>
        <v>21596.400000000001</v>
      </c>
      <c r="AC70" s="845">
        <f t="shared" ref="AC70:AC73" si="41">W70+Y70+AA70</f>
        <v>21596.400000000001</v>
      </c>
      <c r="AD70" s="845">
        <f t="shared" ref="AD70:AD73" si="42">ROUND(AC70*-0.25%,0)</f>
        <v>-54</v>
      </c>
      <c r="AE70" s="845">
        <f t="shared" ref="AE70:AE73" si="43">SUM(AC70:AD70)</f>
        <v>21542.400000000001</v>
      </c>
      <c r="AF70" s="844">
        <v>0</v>
      </c>
      <c r="AG70" s="847">
        <f t="shared" ref="AG70:AG73" si="44">SUM(AE70:AF70)</f>
        <v>21542.400000000001</v>
      </c>
      <c r="AH70" s="847">
        <f>0*8</f>
        <v>0</v>
      </c>
      <c r="AI70" s="847">
        <f t="shared" ref="AI70:AI73" si="45">AG70-AH70</f>
        <v>21542.400000000001</v>
      </c>
      <c r="AJ70" s="847">
        <f t="shared" ref="AJ70:AJ73" si="46">ROUND(AI70/4,0)</f>
        <v>5386</v>
      </c>
      <c r="AK70" s="848">
        <f t="shared" si="25"/>
        <v>64871.812497789833</v>
      </c>
      <c r="AL70" s="848">
        <f t="shared" ref="AL70:AL73" si="47">U70+AJ70</f>
        <v>16218</v>
      </c>
      <c r="AM70" s="1517"/>
      <c r="AN70" s="1517"/>
      <c r="AO70" s="1517">
        <v>0</v>
      </c>
      <c r="AP70" s="1517"/>
      <c r="AQ70" s="1521">
        <f t="shared" ref="AQ70:AQ74" si="48">AD70-AO70</f>
        <v>-54</v>
      </c>
    </row>
    <row r="71" spans="1:43" s="795" customFormat="1" ht="17.25" customHeight="1">
      <c r="A71" s="836">
        <v>67</v>
      </c>
      <c r="B71" s="837" t="s">
        <v>241</v>
      </c>
      <c r="C71" s="849">
        <v>4</v>
      </c>
      <c r="D71" s="850">
        <f>'Table 3 Levels 1&amp;2'!AL74*90%</f>
        <v>4497.9714675875975</v>
      </c>
      <c r="E71" s="850">
        <f t="shared" si="27"/>
        <v>17991.88587035039</v>
      </c>
      <c r="F71" s="851">
        <f>'Table 4 Level 3'!P72*90%</f>
        <v>644.04899999999998</v>
      </c>
      <c r="G71" s="851">
        <f t="shared" si="28"/>
        <v>2576.1959999999999</v>
      </c>
      <c r="H71" s="851">
        <f t="shared" si="29"/>
        <v>20568.08187035039</v>
      </c>
      <c r="I71" s="851">
        <f>'Oct midyear adj_LA virtual'!K72</f>
        <v>20568.08187035039</v>
      </c>
      <c r="J71" s="851">
        <f>'Feb midyear adj_LA virtual '!K72</f>
        <v>-10284.040935175195</v>
      </c>
      <c r="K71" s="851">
        <f t="shared" si="30"/>
        <v>10284.040935175195</v>
      </c>
      <c r="L71" s="851">
        <f t="shared" si="31"/>
        <v>30852.122805525585</v>
      </c>
      <c r="M71" s="851">
        <f t="shared" si="32"/>
        <v>-77</v>
      </c>
      <c r="N71" s="852">
        <f t="shared" si="33"/>
        <v>30775.122805525585</v>
      </c>
      <c r="O71" s="852">
        <v>0</v>
      </c>
      <c r="P71" s="853">
        <f t="shared" si="34"/>
        <v>30775.122805525585</v>
      </c>
      <c r="Q71" s="854"/>
      <c r="R71" s="853">
        <f t="shared" si="35"/>
        <v>30775.122805525585</v>
      </c>
      <c r="S71" s="853">
        <f>1710*8</f>
        <v>13680</v>
      </c>
      <c r="T71" s="853">
        <f t="shared" si="36"/>
        <v>17095.122805525585</v>
      </c>
      <c r="U71" s="853">
        <f t="shared" si="37"/>
        <v>4274</v>
      </c>
      <c r="V71" s="855">
        <f>'[11]FY2011-12_Final'!$K74*90%</f>
        <v>3922.2000000000003</v>
      </c>
      <c r="W71" s="856">
        <f t="shared" si="26"/>
        <v>15688.800000000001</v>
      </c>
      <c r="X71" s="857">
        <f>'Oct midyear adj_LA virtual'!E72</f>
        <v>4</v>
      </c>
      <c r="Y71" s="856">
        <f t="shared" si="38"/>
        <v>15688.800000000001</v>
      </c>
      <c r="Z71" s="857">
        <f>'Feb midyear adj_LA virtual '!E72</f>
        <v>-4</v>
      </c>
      <c r="AA71" s="856">
        <f t="shared" si="39"/>
        <v>-7844.4000000000005</v>
      </c>
      <c r="AB71" s="856">
        <f t="shared" si="40"/>
        <v>7844.4000000000005</v>
      </c>
      <c r="AC71" s="856">
        <f t="shared" si="41"/>
        <v>23533.200000000001</v>
      </c>
      <c r="AD71" s="856">
        <f t="shared" si="42"/>
        <v>-59</v>
      </c>
      <c r="AE71" s="856">
        <f t="shared" si="43"/>
        <v>23474.2</v>
      </c>
      <c r="AF71" s="855">
        <v>0</v>
      </c>
      <c r="AG71" s="858">
        <f t="shared" si="44"/>
        <v>23474.2</v>
      </c>
      <c r="AH71" s="858">
        <f>1289*8</f>
        <v>10312</v>
      </c>
      <c r="AI71" s="858">
        <f t="shared" si="45"/>
        <v>13162.2</v>
      </c>
      <c r="AJ71" s="858">
        <f t="shared" si="46"/>
        <v>3291</v>
      </c>
      <c r="AK71" s="859">
        <f t="shared" si="25"/>
        <v>54249.32280552559</v>
      </c>
      <c r="AL71" s="859">
        <f t="shared" si="47"/>
        <v>7565</v>
      </c>
      <c r="AM71" s="1517"/>
      <c r="AN71" s="1517"/>
      <c r="AO71" s="1517">
        <v>-39</v>
      </c>
      <c r="AP71" s="1517"/>
      <c r="AQ71" s="1521">
        <f t="shared" si="48"/>
        <v>-20</v>
      </c>
    </row>
    <row r="72" spans="1:43" s="795" customFormat="1" ht="17.25" customHeight="1">
      <c r="A72" s="836">
        <v>68</v>
      </c>
      <c r="B72" s="837" t="s">
        <v>242</v>
      </c>
      <c r="C72" s="849">
        <v>0</v>
      </c>
      <c r="D72" s="850">
        <f>'Table 3 Levels 1&amp;2'!AL75*90%</f>
        <v>5271.2040456958403</v>
      </c>
      <c r="E72" s="850">
        <f t="shared" si="27"/>
        <v>0</v>
      </c>
      <c r="F72" s="851">
        <f>'Table 4 Level 3'!P73*90%</f>
        <v>718.83</v>
      </c>
      <c r="G72" s="851">
        <f t="shared" si="28"/>
        <v>0</v>
      </c>
      <c r="H72" s="851">
        <f t="shared" si="29"/>
        <v>0</v>
      </c>
      <c r="I72" s="851">
        <f>'Oct midyear adj_LA virtual'!K73</f>
        <v>23960.136182783361</v>
      </c>
      <c r="J72" s="851">
        <f>'Feb midyear adj_LA virtual '!K73</f>
        <v>2995.0170228479201</v>
      </c>
      <c r="K72" s="851">
        <f t="shared" si="30"/>
        <v>26955.153205631279</v>
      </c>
      <c r="L72" s="851">
        <f t="shared" si="31"/>
        <v>26955.153205631279</v>
      </c>
      <c r="M72" s="851">
        <f t="shared" si="32"/>
        <v>-67</v>
      </c>
      <c r="N72" s="852">
        <f t="shared" si="33"/>
        <v>26888.153205631279</v>
      </c>
      <c r="O72" s="852">
        <v>0</v>
      </c>
      <c r="P72" s="853">
        <f t="shared" si="34"/>
        <v>26888.153205631279</v>
      </c>
      <c r="Q72" s="854"/>
      <c r="R72" s="853">
        <f t="shared" si="35"/>
        <v>26888.153205631279</v>
      </c>
      <c r="S72" s="853">
        <f>0*8</f>
        <v>0</v>
      </c>
      <c r="T72" s="853">
        <f t="shared" si="36"/>
        <v>26888.153205631279</v>
      </c>
      <c r="U72" s="853">
        <f t="shared" si="37"/>
        <v>6722</v>
      </c>
      <c r="V72" s="855">
        <f>'[11]FY2011-12_Final'!$K75*90%</f>
        <v>2610</v>
      </c>
      <c r="W72" s="856">
        <f t="shared" si="26"/>
        <v>0</v>
      </c>
      <c r="X72" s="857">
        <f>'Oct midyear adj_LA virtual'!E73</f>
        <v>4</v>
      </c>
      <c r="Y72" s="856">
        <f t="shared" si="38"/>
        <v>10440</v>
      </c>
      <c r="Z72" s="857">
        <f>'Feb midyear adj_LA virtual '!E73</f>
        <v>1</v>
      </c>
      <c r="AA72" s="856">
        <f t="shared" si="39"/>
        <v>1305</v>
      </c>
      <c r="AB72" s="856">
        <f t="shared" si="40"/>
        <v>11745</v>
      </c>
      <c r="AC72" s="856">
        <f t="shared" si="41"/>
        <v>11745</v>
      </c>
      <c r="AD72" s="856">
        <f t="shared" si="42"/>
        <v>-29</v>
      </c>
      <c r="AE72" s="856">
        <f t="shared" si="43"/>
        <v>11716</v>
      </c>
      <c r="AF72" s="855">
        <v>0</v>
      </c>
      <c r="AG72" s="858">
        <f t="shared" si="44"/>
        <v>11716</v>
      </c>
      <c r="AH72" s="858">
        <f>0*8</f>
        <v>0</v>
      </c>
      <c r="AI72" s="858">
        <f t="shared" si="45"/>
        <v>11716</v>
      </c>
      <c r="AJ72" s="858">
        <f t="shared" si="46"/>
        <v>2929</v>
      </c>
      <c r="AK72" s="859">
        <f t="shared" si="25"/>
        <v>38604.153205631279</v>
      </c>
      <c r="AL72" s="859">
        <f t="shared" si="47"/>
        <v>9651</v>
      </c>
      <c r="AM72" s="1517"/>
      <c r="AN72" s="1517"/>
      <c r="AO72" s="1517">
        <v>0</v>
      </c>
      <c r="AP72" s="1517"/>
      <c r="AQ72" s="1521">
        <f t="shared" si="48"/>
        <v>-29</v>
      </c>
    </row>
    <row r="73" spans="1:43" s="795" customFormat="1" ht="17.25" customHeight="1">
      <c r="A73" s="836">
        <v>69</v>
      </c>
      <c r="B73" s="837" t="s">
        <v>243</v>
      </c>
      <c r="C73" s="849">
        <v>5</v>
      </c>
      <c r="D73" s="850">
        <f>'Table 3 Levels 1&amp;2'!AL76*90%</f>
        <v>4943.9917793963914</v>
      </c>
      <c r="E73" s="850">
        <f t="shared" si="27"/>
        <v>24719.958896981956</v>
      </c>
      <c r="F73" s="851">
        <f>'Table 4 Level 3'!P74*90%</f>
        <v>635.10299999999995</v>
      </c>
      <c r="G73" s="851">
        <f t="shared" si="28"/>
        <v>3175.5149999999999</v>
      </c>
      <c r="H73" s="851">
        <f t="shared" si="29"/>
        <v>27895.473896981955</v>
      </c>
      <c r="I73" s="851">
        <f>'Oct midyear adj_LA virtual'!K74</f>
        <v>0</v>
      </c>
      <c r="J73" s="851">
        <f>'Feb midyear adj_LA virtual '!K74</f>
        <v>0</v>
      </c>
      <c r="K73" s="851">
        <f t="shared" si="30"/>
        <v>0</v>
      </c>
      <c r="L73" s="851">
        <f t="shared" si="31"/>
        <v>27895.473896981955</v>
      </c>
      <c r="M73" s="851">
        <f t="shared" si="32"/>
        <v>-70</v>
      </c>
      <c r="N73" s="852">
        <f t="shared" si="33"/>
        <v>27825.473896981955</v>
      </c>
      <c r="O73" s="852">
        <v>0</v>
      </c>
      <c r="P73" s="853">
        <f t="shared" si="34"/>
        <v>27825.473896981955</v>
      </c>
      <c r="Q73" s="854"/>
      <c r="R73" s="853">
        <f t="shared" si="35"/>
        <v>27825.473896981955</v>
      </c>
      <c r="S73" s="853">
        <f>2319*8</f>
        <v>18552</v>
      </c>
      <c r="T73" s="853">
        <f t="shared" si="36"/>
        <v>9273.4738969819555</v>
      </c>
      <c r="U73" s="853">
        <f t="shared" si="37"/>
        <v>2318</v>
      </c>
      <c r="V73" s="855">
        <f>'[11]FY2011-12_Final'!$K76*90%</f>
        <v>2980.8</v>
      </c>
      <c r="W73" s="856">
        <f t="shared" si="26"/>
        <v>14904</v>
      </c>
      <c r="X73" s="857">
        <f>'Oct midyear adj_LA virtual'!E74</f>
        <v>0</v>
      </c>
      <c r="Y73" s="856">
        <f t="shared" si="38"/>
        <v>0</v>
      </c>
      <c r="Z73" s="857">
        <f>'Feb midyear adj_LA virtual '!E74</f>
        <v>0</v>
      </c>
      <c r="AA73" s="856">
        <f t="shared" si="39"/>
        <v>0</v>
      </c>
      <c r="AB73" s="856">
        <f t="shared" si="40"/>
        <v>0</v>
      </c>
      <c r="AC73" s="856">
        <f t="shared" si="41"/>
        <v>14904</v>
      </c>
      <c r="AD73" s="856">
        <f t="shared" si="42"/>
        <v>-37</v>
      </c>
      <c r="AE73" s="856">
        <f t="shared" si="43"/>
        <v>14867</v>
      </c>
      <c r="AF73" s="855">
        <v>0</v>
      </c>
      <c r="AG73" s="858">
        <f t="shared" si="44"/>
        <v>14867</v>
      </c>
      <c r="AH73" s="858">
        <f>877*8</f>
        <v>7016</v>
      </c>
      <c r="AI73" s="858">
        <f t="shared" si="45"/>
        <v>7851</v>
      </c>
      <c r="AJ73" s="858">
        <f t="shared" si="46"/>
        <v>1963</v>
      </c>
      <c r="AK73" s="859">
        <f t="shared" si="25"/>
        <v>42692.473896981959</v>
      </c>
      <c r="AL73" s="859">
        <f t="shared" si="47"/>
        <v>4281</v>
      </c>
      <c r="AM73" s="1517"/>
      <c r="AN73" s="1517"/>
      <c r="AO73" s="1517">
        <v>-26</v>
      </c>
      <c r="AP73" s="1517"/>
      <c r="AQ73" s="1521">
        <f t="shared" si="48"/>
        <v>-11</v>
      </c>
    </row>
    <row r="74" spans="1:43" s="834" customFormat="1" ht="24" customHeight="1">
      <c r="A74" s="873"/>
      <c r="B74" s="874" t="s">
        <v>704</v>
      </c>
      <c r="C74" s="875">
        <f>SUM(C5:C73)</f>
        <v>1100</v>
      </c>
      <c r="D74" s="876"/>
      <c r="E74" s="876">
        <f t="shared" ref="E74:U74" si="49">SUM(E5:E73)</f>
        <v>4274862.3349277014</v>
      </c>
      <c r="F74" s="877"/>
      <c r="G74" s="877">
        <f t="shared" si="49"/>
        <v>696975.99619744101</v>
      </c>
      <c r="H74" s="877">
        <f t="shared" si="49"/>
        <v>4971838.331125143</v>
      </c>
      <c r="I74" s="877">
        <f>SUM(I5:I73)</f>
        <v>651135.80705186899</v>
      </c>
      <c r="J74" s="877">
        <f>SUM(J5:J73)</f>
        <v>11891.766400164843</v>
      </c>
      <c r="K74" s="877">
        <f>SUM(K5:K73)</f>
        <v>663027.57345203392</v>
      </c>
      <c r="L74" s="877">
        <f>SUM(L5:L73)</f>
        <v>5634865.9045771752</v>
      </c>
      <c r="M74" s="877">
        <f t="shared" si="49"/>
        <v>-14085</v>
      </c>
      <c r="N74" s="878">
        <f t="shared" si="49"/>
        <v>5620780.9045771752</v>
      </c>
      <c r="O74" s="878">
        <f t="shared" si="49"/>
        <v>0</v>
      </c>
      <c r="P74" s="879">
        <f t="shared" si="49"/>
        <v>5620780.9045771752</v>
      </c>
      <c r="Q74" s="880">
        <f>SUM(Q5:Q73)</f>
        <v>0</v>
      </c>
      <c r="R74" s="879">
        <f>SUM(R5:R73)</f>
        <v>5620780.9045771752</v>
      </c>
      <c r="S74" s="879">
        <f>SUM(S5:S73)</f>
        <v>3306264</v>
      </c>
      <c r="T74" s="879">
        <f>SUM(T5:T73)</f>
        <v>2314516.9045771761</v>
      </c>
      <c r="U74" s="879">
        <f t="shared" si="49"/>
        <v>578633</v>
      </c>
      <c r="V74" s="881"/>
      <c r="W74" s="882">
        <f t="shared" ref="W74:AL74" si="50">SUM(W5:W73)</f>
        <v>4233357.0000000009</v>
      </c>
      <c r="X74" s="883">
        <f t="shared" si="50"/>
        <v>146</v>
      </c>
      <c r="Y74" s="882">
        <f t="shared" si="50"/>
        <v>596661.30000000005</v>
      </c>
      <c r="Z74" s="883">
        <f t="shared" si="50"/>
        <v>-4</v>
      </c>
      <c r="AA74" s="882">
        <f t="shared" si="50"/>
        <v>-40994.100000000028</v>
      </c>
      <c r="AB74" s="882">
        <f t="shared" si="50"/>
        <v>555667.20000000007</v>
      </c>
      <c r="AC74" s="882">
        <f t="shared" si="50"/>
        <v>4789024.2000000011</v>
      </c>
      <c r="AD74" s="882">
        <f t="shared" si="50"/>
        <v>-11977</v>
      </c>
      <c r="AE74" s="882">
        <f t="shared" si="50"/>
        <v>4777047.2000000011</v>
      </c>
      <c r="AF74" s="882">
        <f t="shared" si="50"/>
        <v>0</v>
      </c>
      <c r="AG74" s="884">
        <f t="shared" si="50"/>
        <v>4777047.2000000011</v>
      </c>
      <c r="AH74" s="884">
        <f>SUM(AH5:AH73)</f>
        <v>2784680</v>
      </c>
      <c r="AI74" s="884">
        <f>SUM(AI5:AI73)</f>
        <v>1992367.1999999997</v>
      </c>
      <c r="AJ74" s="884">
        <f t="shared" si="50"/>
        <v>498095</v>
      </c>
      <c r="AK74" s="882">
        <f t="shared" si="50"/>
        <v>10397828.104577174</v>
      </c>
      <c r="AL74" s="882">
        <f t="shared" si="50"/>
        <v>1076728</v>
      </c>
      <c r="AM74" s="1510"/>
      <c r="AN74" s="1510"/>
      <c r="AO74" s="1510">
        <v>-10467</v>
      </c>
      <c r="AP74" s="1510"/>
      <c r="AQ74" s="1521">
        <f t="shared" si="48"/>
        <v>-1510</v>
      </c>
    </row>
    <row r="75" spans="1:43" s="892" customFormat="1" ht="10.5" customHeight="1">
      <c r="A75" s="885"/>
      <c r="B75" s="886"/>
      <c r="C75" s="887"/>
      <c r="D75" s="888"/>
      <c r="E75" s="888"/>
      <c r="F75" s="888"/>
      <c r="G75" s="888"/>
      <c r="H75" s="888"/>
      <c r="I75" s="888"/>
      <c r="J75" s="888"/>
      <c r="K75" s="888"/>
      <c r="L75" s="888"/>
      <c r="M75" s="888"/>
      <c r="N75" s="888"/>
      <c r="O75" s="888"/>
      <c r="P75" s="888"/>
      <c r="Q75" s="889"/>
      <c r="R75" s="888"/>
      <c r="S75" s="888"/>
      <c r="T75" s="888"/>
      <c r="U75" s="888"/>
      <c r="V75" s="890"/>
      <c r="W75" s="890"/>
      <c r="X75" s="890"/>
      <c r="Y75" s="890"/>
      <c r="Z75" s="890"/>
      <c r="AA75" s="890"/>
      <c r="AB75" s="890"/>
      <c r="AC75" s="890"/>
      <c r="AD75" s="891"/>
      <c r="AE75" s="891"/>
      <c r="AF75" s="891"/>
      <c r="AG75" s="890"/>
      <c r="AH75" s="890"/>
      <c r="AI75" s="890"/>
      <c r="AJ75" s="890"/>
      <c r="AK75" s="890"/>
      <c r="AL75" s="890"/>
      <c r="AM75" s="1522"/>
      <c r="AN75" s="1522"/>
      <c r="AO75" s="1522"/>
      <c r="AP75" s="1522"/>
      <c r="AQ75" s="1522"/>
    </row>
    <row r="76" spans="1:43" s="795" customFormat="1" ht="18.75" customHeight="1">
      <c r="A76" s="885"/>
      <c r="B76" s="893" t="s">
        <v>705</v>
      </c>
      <c r="C76" s="785"/>
      <c r="D76" s="786"/>
      <c r="E76" s="786"/>
      <c r="F76" s="787"/>
      <c r="G76" s="787"/>
      <c r="H76" s="787"/>
      <c r="I76" s="787"/>
      <c r="J76" s="787"/>
      <c r="K76" s="787"/>
      <c r="L76" s="787"/>
      <c r="M76" s="787">
        <f>-M74</f>
        <v>14085</v>
      </c>
      <c r="N76" s="788">
        <f>M76</f>
        <v>14085</v>
      </c>
      <c r="O76" s="788"/>
      <c r="P76" s="789">
        <f>N76</f>
        <v>14085</v>
      </c>
      <c r="Q76" s="894"/>
      <c r="R76" s="789"/>
      <c r="S76" s="789">
        <v>12432</v>
      </c>
      <c r="T76" s="789">
        <f>P76-S76</f>
        <v>1653</v>
      </c>
      <c r="U76" s="789"/>
      <c r="V76" s="808"/>
      <c r="W76" s="791"/>
      <c r="X76" s="791"/>
      <c r="Y76" s="791"/>
      <c r="Z76" s="791"/>
      <c r="AA76" s="791"/>
      <c r="AB76" s="791"/>
      <c r="AC76" s="791"/>
      <c r="AD76" s="791">
        <f>-AD74</f>
        <v>11977</v>
      </c>
      <c r="AE76" s="791">
        <f>AD76</f>
        <v>11977</v>
      </c>
      <c r="AF76" s="791"/>
      <c r="AG76" s="895">
        <f>AD76</f>
        <v>11977</v>
      </c>
      <c r="AH76" s="895">
        <v>10467</v>
      </c>
      <c r="AI76" s="895">
        <f>AG76-AH76</f>
        <v>1510</v>
      </c>
      <c r="AJ76" s="895"/>
      <c r="AK76" s="793">
        <f t="shared" ref="AK76" si="51">AG76+P76</f>
        <v>26062</v>
      </c>
      <c r="AL76" s="793"/>
      <c r="AM76" s="1517"/>
      <c r="AN76" s="1517"/>
      <c r="AO76" s="1517"/>
      <c r="AP76" s="1517"/>
      <c r="AQ76" s="1517"/>
    </row>
    <row r="77" spans="1:43" s="892" customFormat="1" ht="10.5" customHeight="1">
      <c r="A77" s="885"/>
      <c r="B77" s="886"/>
      <c r="C77" s="887"/>
      <c r="D77" s="888"/>
      <c r="E77" s="888"/>
      <c r="F77" s="888"/>
      <c r="G77" s="888"/>
      <c r="H77" s="888"/>
      <c r="I77" s="888"/>
      <c r="J77" s="888"/>
      <c r="K77" s="888"/>
      <c r="L77" s="888"/>
      <c r="M77" s="888"/>
      <c r="N77" s="888"/>
      <c r="O77" s="888"/>
      <c r="P77" s="888"/>
      <c r="Q77" s="889"/>
      <c r="R77" s="888"/>
      <c r="S77" s="888"/>
      <c r="T77" s="888"/>
      <c r="U77" s="888"/>
      <c r="V77" s="890"/>
      <c r="W77" s="890"/>
      <c r="X77" s="890"/>
      <c r="Y77" s="890"/>
      <c r="Z77" s="890"/>
      <c r="AA77" s="890"/>
      <c r="AB77" s="890"/>
      <c r="AC77" s="890"/>
      <c r="AD77" s="891"/>
      <c r="AE77" s="891"/>
      <c r="AF77" s="891"/>
      <c r="AG77" s="890"/>
      <c r="AH77" s="890"/>
      <c r="AI77" s="890"/>
      <c r="AJ77" s="890"/>
      <c r="AK77" s="890"/>
      <c r="AL77" s="890"/>
      <c r="AM77" s="1522"/>
      <c r="AN77" s="1522"/>
      <c r="AO77" s="1522"/>
      <c r="AP77" s="1522"/>
      <c r="AQ77" s="1522"/>
    </row>
    <row r="78" spans="1:43" s="908" customFormat="1" ht="33.75" customHeight="1">
      <c r="A78" s="896"/>
      <c r="B78" s="897" t="s">
        <v>706</v>
      </c>
      <c r="C78" s="898">
        <f>SUM(C74:C77)</f>
        <v>1100</v>
      </c>
      <c r="D78" s="899"/>
      <c r="E78" s="899">
        <f t="shared" ref="E78:AK78" si="52">SUM(E74:E77)</f>
        <v>4274862.3349277014</v>
      </c>
      <c r="F78" s="900"/>
      <c r="G78" s="900">
        <f t="shared" si="52"/>
        <v>696975.99619744101</v>
      </c>
      <c r="H78" s="900">
        <f t="shared" si="52"/>
        <v>4971838.331125143</v>
      </c>
      <c r="I78" s="900"/>
      <c r="J78" s="900"/>
      <c r="K78" s="900"/>
      <c r="L78" s="900"/>
      <c r="M78" s="900">
        <f t="shared" si="52"/>
        <v>0</v>
      </c>
      <c r="N78" s="901">
        <f t="shared" si="52"/>
        <v>5634865.9045771752</v>
      </c>
      <c r="O78" s="901">
        <f t="shared" si="52"/>
        <v>0</v>
      </c>
      <c r="P78" s="902">
        <f t="shared" si="52"/>
        <v>5634865.9045771752</v>
      </c>
      <c r="Q78" s="903"/>
      <c r="R78" s="902"/>
      <c r="S78" s="902"/>
      <c r="T78" s="902"/>
      <c r="U78" s="902"/>
      <c r="V78" s="904"/>
      <c r="W78" s="905">
        <f t="shared" si="52"/>
        <v>4233357.0000000009</v>
      </c>
      <c r="X78" s="905"/>
      <c r="Y78" s="905"/>
      <c r="Z78" s="905"/>
      <c r="AA78" s="905"/>
      <c r="AB78" s="905"/>
      <c r="AC78" s="905"/>
      <c r="AD78" s="905">
        <f t="shared" si="52"/>
        <v>0</v>
      </c>
      <c r="AE78" s="905">
        <f t="shared" si="52"/>
        <v>4789024.2000000011</v>
      </c>
      <c r="AF78" s="905">
        <f t="shared" si="52"/>
        <v>0</v>
      </c>
      <c r="AG78" s="906">
        <f t="shared" si="52"/>
        <v>4789024.2000000011</v>
      </c>
      <c r="AH78" s="906"/>
      <c r="AI78" s="906"/>
      <c r="AJ78" s="906"/>
      <c r="AK78" s="907">
        <f t="shared" si="52"/>
        <v>10423890.104577174</v>
      </c>
      <c r="AL78" s="907"/>
      <c r="AM78" s="1523"/>
      <c r="AN78" s="1523"/>
      <c r="AO78" s="1523"/>
      <c r="AP78" s="1523"/>
      <c r="AQ78" s="1523"/>
    </row>
    <row r="79" spans="1:43" s="1507" customFormat="1" ht="12.75" hidden="1" customHeight="1">
      <c r="B79" s="1526"/>
      <c r="C79" s="1527"/>
      <c r="D79" s="1528"/>
      <c r="E79" s="1527"/>
      <c r="F79" s="1527"/>
      <c r="G79" s="1527"/>
      <c r="H79" s="1508"/>
      <c r="I79" s="1508"/>
      <c r="J79" s="1508"/>
      <c r="K79" s="1508"/>
      <c r="L79" s="1508"/>
      <c r="M79" s="1508"/>
      <c r="N79" s="1508"/>
      <c r="O79" s="1508"/>
      <c r="P79" s="1508"/>
      <c r="Q79" s="1508"/>
      <c r="R79" s="1508"/>
      <c r="S79" s="1508"/>
      <c r="T79" s="1508"/>
      <c r="U79" s="1508"/>
    </row>
    <row r="80" spans="1:43" s="1507" customFormat="1" ht="25.5" hidden="1" customHeight="1">
      <c r="B80" s="1507" t="str">
        <f ca="1">CELL("filename")</f>
        <v xml:space="preserve">I:\COMM\Content\Website Content\0 Library\Minimum Foundation Program\[2011-2012 Final Budget Spreadsheet.xlsx]Table 1 State Summary </v>
      </c>
      <c r="C80" s="1769"/>
      <c r="D80" s="1769"/>
      <c r="E80" s="1769"/>
      <c r="F80" s="1769"/>
      <c r="G80" s="1769"/>
      <c r="H80" s="1769"/>
      <c r="I80" s="1769"/>
      <c r="J80" s="1769"/>
      <c r="K80" s="1769"/>
      <c r="L80" s="1769"/>
      <c r="M80" s="1769"/>
      <c r="N80" s="1769"/>
      <c r="O80" s="1769"/>
      <c r="P80" s="1769"/>
      <c r="Q80" s="1769"/>
      <c r="R80" s="1769"/>
      <c r="S80" s="1769"/>
      <c r="T80" s="1769"/>
      <c r="U80" s="1769"/>
    </row>
    <row r="81" spans="2:43" s="909" customFormat="1" ht="33.75" customHeight="1">
      <c r="C81" s="910"/>
      <c r="D81" s="911"/>
      <c r="E81" s="911"/>
      <c r="F81" s="911"/>
      <c r="G81" s="911"/>
      <c r="H81" s="911"/>
      <c r="I81" s="911"/>
      <c r="J81" s="911"/>
      <c r="K81" s="911"/>
      <c r="L81" s="911"/>
      <c r="M81" s="911"/>
      <c r="AM81" s="1524"/>
      <c r="AN81" s="1524"/>
      <c r="AO81" s="1524"/>
      <c r="AP81" s="1524"/>
      <c r="AQ81" s="1524"/>
    </row>
    <row r="82" spans="2:43" s="909" customFormat="1" ht="62.25" customHeight="1">
      <c r="C82" s="1770"/>
      <c r="D82" s="1770"/>
      <c r="E82" s="1770"/>
      <c r="F82" s="1770"/>
      <c r="G82" s="1770"/>
      <c r="H82" s="1770"/>
      <c r="I82" s="1770"/>
      <c r="J82" s="1770"/>
      <c r="K82" s="1770"/>
      <c r="L82" s="1770"/>
      <c r="M82" s="1770"/>
      <c r="N82" s="1770"/>
      <c r="O82" s="1770"/>
      <c r="P82" s="1770"/>
      <c r="Q82" s="1770"/>
      <c r="R82" s="1770"/>
      <c r="S82" s="1770"/>
      <c r="T82" s="1770"/>
      <c r="U82" s="1770"/>
      <c r="AM82" s="1524"/>
      <c r="AN82" s="1524"/>
      <c r="AO82" s="1524"/>
      <c r="AP82" s="1524"/>
      <c r="AQ82" s="1524"/>
    </row>
    <row r="83" spans="2:43" ht="28.5" customHeight="1">
      <c r="C83" s="818"/>
    </row>
    <row r="84" spans="2:43" ht="28.5" customHeight="1">
      <c r="B84" s="825"/>
    </row>
  </sheetData>
  <mergeCells count="44">
    <mergeCell ref="N2:N3"/>
    <mergeCell ref="I1:K1"/>
    <mergeCell ref="X1:AB1"/>
    <mergeCell ref="A2:A3"/>
    <mergeCell ref="B2:B3"/>
    <mergeCell ref="C2:C3"/>
    <mergeCell ref="D2:D3"/>
    <mergeCell ref="E2:E3"/>
    <mergeCell ref="F2:F3"/>
    <mergeCell ref="G2:G3"/>
    <mergeCell ref="H2:H3"/>
    <mergeCell ref="I2:I3"/>
    <mergeCell ref="J2:J3"/>
    <mergeCell ref="K2:K3"/>
    <mergeCell ref="L2:L3"/>
    <mergeCell ref="M2:M3"/>
    <mergeCell ref="Z2:Z3"/>
    <mergeCell ref="O2:O3"/>
    <mergeCell ref="P2:P3"/>
    <mergeCell ref="Q2:Q3"/>
    <mergeCell ref="R2:R3"/>
    <mergeCell ref="S2:S3"/>
    <mergeCell ref="T2:T3"/>
    <mergeCell ref="U2:U3"/>
    <mergeCell ref="V2:V3"/>
    <mergeCell ref="W2:W3"/>
    <mergeCell ref="X2:X3"/>
    <mergeCell ref="Y2:Y3"/>
    <mergeCell ref="AO2:AO3"/>
    <mergeCell ref="AQ2:AQ3"/>
    <mergeCell ref="C80:U80"/>
    <mergeCell ref="C82:U82"/>
    <mergeCell ref="AG2:AG3"/>
    <mergeCell ref="AH2:AH3"/>
    <mergeCell ref="AI2:AI3"/>
    <mergeCell ref="AJ2:AJ3"/>
    <mergeCell ref="AK2:AK3"/>
    <mergeCell ref="AL2:AL3"/>
    <mergeCell ref="AA2:AA3"/>
    <mergeCell ref="AB2:AB3"/>
    <mergeCell ref="AC2:AC3"/>
    <mergeCell ref="AD2:AD3"/>
    <mergeCell ref="AE2:AE3"/>
    <mergeCell ref="AF2:AF3"/>
  </mergeCells>
  <printOptions horizontalCentered="1"/>
  <pageMargins left="0.2" right="0.32" top="0.86" bottom="0.25" header="0.24" footer="0.25"/>
  <pageSetup paperSize="5" scale="41" firstPageNumber="27" orientation="portrait" useFirstPageNumber="1" r:id="rId1"/>
  <headerFooter alignWithMargins="0">
    <oddHeader>&amp;L&amp;"Arial,Bold"&amp;20Table 5C-2: FY2011-12 Budget Letter  
Type 2 Charter School Allocation (Louisiana Virtual Charter Academy) (March 2012)</oddHeader>
    <oddFooter>&amp;R&amp;P</oddFooter>
  </headerFooter>
  <colBreaks count="3" manualBreakCount="3">
    <brk id="12" max="77" man="1"/>
    <brk id="21" max="77" man="1"/>
    <brk id="31" max="77" man="1"/>
  </colBreaks>
</worksheet>
</file>

<file path=xl/worksheets/sheet13.xml><?xml version="1.0" encoding="utf-8"?>
<worksheet xmlns="http://schemas.openxmlformats.org/spreadsheetml/2006/main" xmlns:r="http://schemas.openxmlformats.org/officeDocument/2006/relationships">
  <dimension ref="A1:AO84"/>
  <sheetViews>
    <sheetView view="pageBreakPreview" zoomScale="60" zoomScaleNormal="85" workbookViewId="0">
      <pane ySplit="4" topLeftCell="A5" activePane="bottomLeft" state="frozen"/>
      <selection pane="bottomLeft" activeCell="A79" sqref="A79:XFD81"/>
    </sheetView>
  </sheetViews>
  <sheetFormatPr defaultRowHeight="60.75" customHeight="1"/>
  <cols>
    <col min="1" max="1" width="6" style="774" customWidth="1"/>
    <col min="2" max="2" width="36.140625" style="774" customWidth="1"/>
    <col min="3" max="3" width="13.5703125" style="774" customWidth="1"/>
    <col min="4" max="4" width="13.42578125" style="774" customWidth="1"/>
    <col min="5" max="5" width="16.140625" style="817" customWidth="1"/>
    <col min="6" max="6" width="14.85546875" style="817" customWidth="1"/>
    <col min="7" max="7" width="15.5703125" style="817" customWidth="1"/>
    <col min="8" max="12" width="16.7109375" style="774" customWidth="1"/>
    <col min="13" max="13" width="16.28515625" style="774" customWidth="1"/>
    <col min="14" max="14" width="18.5703125" style="774" customWidth="1"/>
    <col min="15" max="15" width="17.5703125" style="774" customWidth="1"/>
    <col min="16" max="16" width="17.5703125" style="774" bestFit="1" customWidth="1"/>
    <col min="17" max="20" width="17.5703125" style="774" customWidth="1"/>
    <col min="21" max="21" width="15.28515625" style="774" bestFit="1" customWidth="1"/>
    <col min="22" max="22" width="11.7109375" style="774" customWidth="1"/>
    <col min="23" max="29" width="15.140625" style="774" customWidth="1"/>
    <col min="30" max="30" width="12.7109375" style="774" bestFit="1" customWidth="1"/>
    <col min="31" max="31" width="15.7109375" style="774" customWidth="1"/>
    <col min="32" max="32" width="14.42578125" style="774" customWidth="1"/>
    <col min="33" max="33" width="15.5703125" style="774" customWidth="1"/>
    <col min="34" max="34" width="17.7109375" style="774" customWidth="1"/>
    <col min="35" max="35" width="19.85546875" style="774" customWidth="1"/>
    <col min="36" max="36" width="13" style="774" customWidth="1"/>
    <col min="37" max="37" width="15.7109375" style="774" customWidth="1"/>
    <col min="38" max="38" width="14.140625" style="774" customWidth="1"/>
    <col min="39" max="40" width="0" style="1507" hidden="1" customWidth="1"/>
    <col min="41" max="41" width="11.7109375" style="1507" hidden="1" customWidth="1"/>
    <col min="42" max="16384" width="9.140625" style="774"/>
  </cols>
  <sheetData>
    <row r="1" spans="1:41" ht="60.75" customHeight="1">
      <c r="I1" s="1790" t="s">
        <v>156</v>
      </c>
      <c r="J1" s="1791"/>
      <c r="K1" s="1792"/>
      <c r="L1" s="835"/>
      <c r="X1" s="1748" t="s">
        <v>544</v>
      </c>
      <c r="Y1" s="1749"/>
      <c r="Z1" s="1749"/>
      <c r="AA1" s="1749"/>
      <c r="AB1" s="1750"/>
      <c r="AC1" s="777"/>
      <c r="AN1" s="1507" t="s">
        <v>690</v>
      </c>
    </row>
    <row r="2" spans="1:41" ht="60.75" customHeight="1">
      <c r="A2" s="1793" t="s">
        <v>248</v>
      </c>
      <c r="B2" s="1793" t="s">
        <v>707</v>
      </c>
      <c r="C2" s="1795" t="s">
        <v>693</v>
      </c>
      <c r="D2" s="1796" t="s">
        <v>694</v>
      </c>
      <c r="E2" s="1784" t="s">
        <v>620</v>
      </c>
      <c r="F2" s="1798" t="s">
        <v>695</v>
      </c>
      <c r="G2" s="1799" t="s">
        <v>696</v>
      </c>
      <c r="H2" s="1784" t="s">
        <v>623</v>
      </c>
      <c r="I2" s="1801" t="s">
        <v>552</v>
      </c>
      <c r="J2" s="1801" t="s">
        <v>553</v>
      </c>
      <c r="K2" s="1801" t="s">
        <v>554</v>
      </c>
      <c r="L2" s="1801" t="s">
        <v>697</v>
      </c>
      <c r="M2" s="1803" t="s">
        <v>698</v>
      </c>
      <c r="N2" s="1784" t="s">
        <v>625</v>
      </c>
      <c r="O2" s="1782" t="s">
        <v>650</v>
      </c>
      <c r="P2" s="1784" t="s">
        <v>627</v>
      </c>
      <c r="Q2" s="1785" t="s">
        <v>170</v>
      </c>
      <c r="R2" s="1784" t="s">
        <v>699</v>
      </c>
      <c r="S2" s="1787" t="s">
        <v>444</v>
      </c>
      <c r="T2" s="1787" t="s">
        <v>445</v>
      </c>
      <c r="U2" s="1787" t="s">
        <v>700</v>
      </c>
      <c r="V2" s="1789" t="s">
        <v>701</v>
      </c>
      <c r="W2" s="1789" t="s">
        <v>565</v>
      </c>
      <c r="X2" s="1661" t="s">
        <v>566</v>
      </c>
      <c r="Y2" s="1661" t="s">
        <v>567</v>
      </c>
      <c r="Z2" s="1661" t="s">
        <v>568</v>
      </c>
      <c r="AA2" s="1661" t="s">
        <v>569</v>
      </c>
      <c r="AB2" s="1661" t="s">
        <v>570</v>
      </c>
      <c r="AC2" s="1775" t="s">
        <v>571</v>
      </c>
      <c r="AD2" s="1776" t="s">
        <v>702</v>
      </c>
      <c r="AE2" s="1771" t="s">
        <v>632</v>
      </c>
      <c r="AF2" s="1782" t="s">
        <v>633</v>
      </c>
      <c r="AG2" s="1778" t="s">
        <v>634</v>
      </c>
      <c r="AH2" s="1771" t="s">
        <v>574</v>
      </c>
      <c r="AI2" s="1771" t="s">
        <v>445</v>
      </c>
      <c r="AJ2" s="1771" t="s">
        <v>575</v>
      </c>
      <c r="AK2" s="1773" t="s">
        <v>703</v>
      </c>
      <c r="AL2" s="1773" t="s">
        <v>577</v>
      </c>
      <c r="AN2" s="1767" t="s">
        <v>1163</v>
      </c>
    </row>
    <row r="3" spans="1:41" ht="79.5" customHeight="1">
      <c r="A3" s="1794"/>
      <c r="B3" s="1794"/>
      <c r="C3" s="1795"/>
      <c r="D3" s="1797"/>
      <c r="E3" s="1784"/>
      <c r="F3" s="1798"/>
      <c r="G3" s="1800"/>
      <c r="H3" s="1784"/>
      <c r="I3" s="1802"/>
      <c r="J3" s="1802"/>
      <c r="K3" s="1802"/>
      <c r="L3" s="1802"/>
      <c r="M3" s="1797"/>
      <c r="N3" s="1784"/>
      <c r="O3" s="1783"/>
      <c r="P3" s="1784"/>
      <c r="Q3" s="1786"/>
      <c r="R3" s="1784"/>
      <c r="S3" s="1788"/>
      <c r="T3" s="1788"/>
      <c r="U3" s="1788"/>
      <c r="V3" s="1777"/>
      <c r="W3" s="1777"/>
      <c r="X3" s="1663"/>
      <c r="Y3" s="1663"/>
      <c r="Z3" s="1663"/>
      <c r="AA3" s="1663"/>
      <c r="AB3" s="1663"/>
      <c r="AC3" s="1775"/>
      <c r="AD3" s="1777"/>
      <c r="AE3" s="1772"/>
      <c r="AF3" s="1783"/>
      <c r="AG3" s="1779"/>
      <c r="AH3" s="1772"/>
      <c r="AI3" s="1772"/>
      <c r="AJ3" s="1772"/>
      <c r="AK3" s="1774"/>
      <c r="AL3" s="1774"/>
      <c r="AN3" s="1767"/>
      <c r="AO3" s="1767" t="s">
        <v>1164</v>
      </c>
    </row>
    <row r="4" spans="1:41" s="783" customFormat="1" ht="16.5" customHeight="1">
      <c r="A4" s="779"/>
      <c r="B4" s="779"/>
      <c r="C4" s="780">
        <v>1</v>
      </c>
      <c r="D4" s="781">
        <f>C4+1</f>
        <v>2</v>
      </c>
      <c r="E4" s="781">
        <f>D4+1</f>
        <v>3</v>
      </c>
      <c r="F4" s="781">
        <f>E4+1</f>
        <v>4</v>
      </c>
      <c r="G4" s="781">
        <f>F4+1</f>
        <v>5</v>
      </c>
      <c r="H4" s="781">
        <f t="shared" ref="H4:AL4" si="0">G4+1</f>
        <v>6</v>
      </c>
      <c r="I4" s="781">
        <f t="shared" si="0"/>
        <v>7</v>
      </c>
      <c r="J4" s="781">
        <f t="shared" si="0"/>
        <v>8</v>
      </c>
      <c r="K4" s="781">
        <f t="shared" si="0"/>
        <v>9</v>
      </c>
      <c r="L4" s="781">
        <f t="shared" si="0"/>
        <v>10</v>
      </c>
      <c r="M4" s="781">
        <f t="shared" si="0"/>
        <v>11</v>
      </c>
      <c r="N4" s="781">
        <f t="shared" si="0"/>
        <v>12</v>
      </c>
      <c r="O4" s="781">
        <f t="shared" si="0"/>
        <v>13</v>
      </c>
      <c r="P4" s="781">
        <f t="shared" si="0"/>
        <v>14</v>
      </c>
      <c r="Q4" s="781">
        <f t="shared" si="0"/>
        <v>15</v>
      </c>
      <c r="R4" s="781">
        <f t="shared" si="0"/>
        <v>16</v>
      </c>
      <c r="S4" s="781">
        <f t="shared" si="0"/>
        <v>17</v>
      </c>
      <c r="T4" s="781">
        <f t="shared" si="0"/>
        <v>18</v>
      </c>
      <c r="U4" s="781">
        <f t="shared" si="0"/>
        <v>19</v>
      </c>
      <c r="V4" s="781">
        <f t="shared" si="0"/>
        <v>20</v>
      </c>
      <c r="W4" s="781">
        <f t="shared" si="0"/>
        <v>21</v>
      </c>
      <c r="X4" s="781">
        <f t="shared" si="0"/>
        <v>22</v>
      </c>
      <c r="Y4" s="781">
        <f t="shared" si="0"/>
        <v>23</v>
      </c>
      <c r="Z4" s="781">
        <f t="shared" si="0"/>
        <v>24</v>
      </c>
      <c r="AA4" s="781">
        <f t="shared" si="0"/>
        <v>25</v>
      </c>
      <c r="AB4" s="781">
        <f t="shared" si="0"/>
        <v>26</v>
      </c>
      <c r="AC4" s="781">
        <f t="shared" si="0"/>
        <v>27</v>
      </c>
      <c r="AD4" s="781">
        <f t="shared" si="0"/>
        <v>28</v>
      </c>
      <c r="AE4" s="781">
        <f t="shared" si="0"/>
        <v>29</v>
      </c>
      <c r="AF4" s="781">
        <f t="shared" si="0"/>
        <v>30</v>
      </c>
      <c r="AG4" s="781">
        <f t="shared" si="0"/>
        <v>31</v>
      </c>
      <c r="AH4" s="781">
        <f t="shared" si="0"/>
        <v>32</v>
      </c>
      <c r="AI4" s="781">
        <f t="shared" si="0"/>
        <v>33</v>
      </c>
      <c r="AJ4" s="781">
        <f t="shared" si="0"/>
        <v>34</v>
      </c>
      <c r="AK4" s="781">
        <f t="shared" si="0"/>
        <v>35</v>
      </c>
      <c r="AL4" s="781">
        <f t="shared" si="0"/>
        <v>36</v>
      </c>
      <c r="AM4" s="1515"/>
      <c r="AN4" s="1515"/>
      <c r="AO4" s="1768"/>
    </row>
    <row r="5" spans="1:41" s="795" customFormat="1" ht="16.5" customHeight="1">
      <c r="A5" s="836">
        <v>1</v>
      </c>
      <c r="B5" s="837" t="s">
        <v>179</v>
      </c>
      <c r="C5" s="838">
        <v>4</v>
      </c>
      <c r="D5" s="839">
        <f>'Table 3 Levels 1&amp;2'!AL8*90%</f>
        <v>4209.3</v>
      </c>
      <c r="E5" s="839">
        <f>C5*D5</f>
        <v>16837.2</v>
      </c>
      <c r="F5" s="840">
        <f>'Table 4 Level 3'!P6*90%</f>
        <v>699.73200000000008</v>
      </c>
      <c r="G5" s="840">
        <f>F5*C5</f>
        <v>2798.9280000000003</v>
      </c>
      <c r="H5" s="840">
        <f>E5+G5</f>
        <v>19636.128000000001</v>
      </c>
      <c r="I5" s="840">
        <f>'Oct midyear adj_Connections'!K6</f>
        <v>29454.192000000003</v>
      </c>
      <c r="J5" s="840">
        <f>'Feb midyear adj_Connections'!K6</f>
        <v>-2454.5160000000001</v>
      </c>
      <c r="K5" s="840">
        <f>I5+J5</f>
        <v>26999.676000000003</v>
      </c>
      <c r="L5" s="840">
        <f>SUM(H5:J5)</f>
        <v>46635.804000000004</v>
      </c>
      <c r="M5" s="840">
        <f>ROUND(-0.25%*L5,0)</f>
        <v>-117</v>
      </c>
      <c r="N5" s="841">
        <f>L5+M5</f>
        <v>46518.804000000004</v>
      </c>
      <c r="O5" s="841">
        <v>0</v>
      </c>
      <c r="P5" s="842">
        <f>SUM(N5:O5)</f>
        <v>46518.804000000004</v>
      </c>
      <c r="Q5" s="843"/>
      <c r="R5" s="842">
        <f>P5+Q5</f>
        <v>46518.804000000004</v>
      </c>
      <c r="S5" s="842">
        <f>1632*8</f>
        <v>13056</v>
      </c>
      <c r="T5" s="842">
        <f>R5-S5</f>
        <v>33462.804000000004</v>
      </c>
      <c r="U5" s="842">
        <f>ROUND(T5/4,0)</f>
        <v>8366</v>
      </c>
      <c r="V5" s="845">
        <f>'[11]FY2011-12_Final'!$K8*90%</f>
        <v>1824.3</v>
      </c>
      <c r="W5" s="845">
        <f>V5*C5</f>
        <v>7297.2</v>
      </c>
      <c r="X5" s="846">
        <f>'Oct midyear adj_Connections'!E6</f>
        <v>6</v>
      </c>
      <c r="Y5" s="845">
        <f>X5*V5</f>
        <v>10945.8</v>
      </c>
      <c r="Z5" s="846">
        <f>'Feb midyear adj_Connections'!E6</f>
        <v>-1</v>
      </c>
      <c r="AA5" s="845">
        <f>(V5*0.5)*Z5</f>
        <v>-912.15</v>
      </c>
      <c r="AB5" s="845">
        <f>Y5+AA5</f>
        <v>10033.65</v>
      </c>
      <c r="AC5" s="845">
        <f>W5+Y5+AA5</f>
        <v>17330.849999999999</v>
      </c>
      <c r="AD5" s="845">
        <f>ROUND(AC5*-0.25%,0)</f>
        <v>-43</v>
      </c>
      <c r="AE5" s="845">
        <f>SUM(AC5:AD5)</f>
        <v>17287.849999999999</v>
      </c>
      <c r="AF5" s="844">
        <v>0</v>
      </c>
      <c r="AG5" s="847">
        <f>SUM(AE5:AF5)</f>
        <v>17287.849999999999</v>
      </c>
      <c r="AH5" s="847">
        <f>600*8</f>
        <v>4800</v>
      </c>
      <c r="AI5" s="847">
        <f>AG5-AH5</f>
        <v>12487.849999999999</v>
      </c>
      <c r="AJ5" s="847">
        <f>ROUND(AI5/4,0)</f>
        <v>3122</v>
      </c>
      <c r="AK5" s="848">
        <f>AG5+R5</f>
        <v>63806.654000000002</v>
      </c>
      <c r="AL5" s="848">
        <f t="shared" ref="AL5:AL68" si="1">U5+AJ5</f>
        <v>11488</v>
      </c>
      <c r="AM5" s="1517"/>
      <c r="AN5" s="1517">
        <v>-18</v>
      </c>
      <c r="AO5" s="1521">
        <f t="shared" ref="AO5:AO68" si="2">AD5-AN5</f>
        <v>-25</v>
      </c>
    </row>
    <row r="6" spans="1:41" s="795" customFormat="1" ht="16.5" customHeight="1">
      <c r="A6" s="836">
        <v>2</v>
      </c>
      <c r="B6" s="837" t="s">
        <v>180</v>
      </c>
      <c r="C6" s="849">
        <v>1</v>
      </c>
      <c r="D6" s="850">
        <f>'Table 3 Levels 1&amp;2'!AL9*90%</f>
        <v>5444.7660898101512</v>
      </c>
      <c r="E6" s="850">
        <f t="shared" ref="E6:E69" si="3">C6*D6</f>
        <v>5444.7660898101512</v>
      </c>
      <c r="F6" s="851">
        <f>'Table 4 Level 3'!P7*90%</f>
        <v>758.08800000000008</v>
      </c>
      <c r="G6" s="851">
        <f t="shared" ref="G6:G69" si="4">F6*C6</f>
        <v>758.08800000000008</v>
      </c>
      <c r="H6" s="851">
        <f t="shared" ref="H6:H69" si="5">E6+G6</f>
        <v>6202.854089810151</v>
      </c>
      <c r="I6" s="851">
        <f>'Oct midyear adj_Connections'!K7</f>
        <v>6202.854089810151</v>
      </c>
      <c r="J6" s="851">
        <f>'Feb midyear adj_Connections'!K7</f>
        <v>-3101.4270449050755</v>
      </c>
      <c r="K6" s="851">
        <f t="shared" ref="K6:K69" si="6">I6+J6</f>
        <v>3101.4270449050755</v>
      </c>
      <c r="L6" s="851">
        <f t="shared" ref="L6:L69" si="7">SUM(H6:J6)</f>
        <v>9304.2811347152274</v>
      </c>
      <c r="M6" s="851">
        <f t="shared" ref="M6:M69" si="8">ROUND(-0.25%*L6,0)</f>
        <v>-23</v>
      </c>
      <c r="N6" s="852">
        <f t="shared" ref="N6:N69" si="9">L6+M6</f>
        <v>9281.2811347152274</v>
      </c>
      <c r="O6" s="852">
        <v>0</v>
      </c>
      <c r="P6" s="853">
        <f t="shared" ref="P6:P69" si="10">SUM(N6:O6)</f>
        <v>9281.2811347152274</v>
      </c>
      <c r="Q6" s="854"/>
      <c r="R6" s="853">
        <f t="shared" ref="R6:R69" si="11">P6+Q6</f>
        <v>9281.2811347152274</v>
      </c>
      <c r="S6" s="853">
        <f>516*8</f>
        <v>4128</v>
      </c>
      <c r="T6" s="853">
        <f t="shared" ref="T6:T69" si="12">R6-S6</f>
        <v>5153.2811347152274</v>
      </c>
      <c r="U6" s="853">
        <f t="shared" ref="U6:U69" si="13">ROUND(T6/4,0)</f>
        <v>1288</v>
      </c>
      <c r="V6" s="856">
        <f>'[11]FY2011-12_Final'!$K9*90%</f>
        <v>2308.5</v>
      </c>
      <c r="W6" s="856">
        <f t="shared" ref="W6:W69" si="14">V6*C6</f>
        <v>2308.5</v>
      </c>
      <c r="X6" s="857">
        <f>'Oct midyear adj_Connections'!E7</f>
        <v>1</v>
      </c>
      <c r="Y6" s="856">
        <f t="shared" ref="Y6:Y69" si="15">X6*V6</f>
        <v>2308.5</v>
      </c>
      <c r="Z6" s="857">
        <f>'Feb midyear adj_Connections'!E7</f>
        <v>-1</v>
      </c>
      <c r="AA6" s="856">
        <f t="shared" ref="AA6:AA69" si="16">(V6*0.5)*Z6</f>
        <v>-1154.25</v>
      </c>
      <c r="AB6" s="856">
        <f t="shared" ref="AB6:AB69" si="17">Y6+AA6</f>
        <v>1154.25</v>
      </c>
      <c r="AC6" s="856">
        <f t="shared" ref="AC6:AC69" si="18">W6+Y6+AA6</f>
        <v>3462.75</v>
      </c>
      <c r="AD6" s="856">
        <f t="shared" ref="AD6:AD69" si="19">ROUND(AC6*-0.25%,0)</f>
        <v>-9</v>
      </c>
      <c r="AE6" s="856">
        <f t="shared" ref="AE6:AE69" si="20">SUM(AC6:AD6)</f>
        <v>3453.75</v>
      </c>
      <c r="AF6" s="855">
        <v>0</v>
      </c>
      <c r="AG6" s="858">
        <f t="shared" ref="AG6:AG69" si="21">SUM(AE6:AF6)</f>
        <v>3453.75</v>
      </c>
      <c r="AH6" s="858">
        <f>193*8</f>
        <v>1544</v>
      </c>
      <c r="AI6" s="858">
        <f t="shared" ref="AI6:AI69" si="22">AG6-AH6</f>
        <v>1909.75</v>
      </c>
      <c r="AJ6" s="858">
        <f t="shared" ref="AJ6:AJ69" si="23">ROUND(AI6/4,0)</f>
        <v>477</v>
      </c>
      <c r="AK6" s="859">
        <f t="shared" ref="AK6:AK69" si="24">AG6+R6</f>
        <v>12735.031134715227</v>
      </c>
      <c r="AL6" s="859">
        <f t="shared" si="1"/>
        <v>1765</v>
      </c>
      <c r="AM6" s="1517"/>
      <c r="AN6" s="1517">
        <v>-6</v>
      </c>
      <c r="AO6" s="1521">
        <f t="shared" si="2"/>
        <v>-3</v>
      </c>
    </row>
    <row r="7" spans="1:41" s="795" customFormat="1" ht="16.5" customHeight="1">
      <c r="A7" s="836">
        <v>3</v>
      </c>
      <c r="B7" s="837" t="s">
        <v>181</v>
      </c>
      <c r="C7" s="849">
        <v>11</v>
      </c>
      <c r="D7" s="850">
        <f>'Table 3 Levels 1&amp;2'!AL10*90%</f>
        <v>3712.0903724597265</v>
      </c>
      <c r="E7" s="850">
        <f t="shared" si="3"/>
        <v>40832.994097056988</v>
      </c>
      <c r="F7" s="851">
        <f>'Table 4 Level 3'!P8*90%</f>
        <v>537.15600000000006</v>
      </c>
      <c r="G7" s="851">
        <f t="shared" si="4"/>
        <v>5908.7160000000003</v>
      </c>
      <c r="H7" s="851">
        <f t="shared" si="5"/>
        <v>46741.710097056988</v>
      </c>
      <c r="I7" s="851">
        <f>'Oct midyear adj_Connections'!K8</f>
        <v>4249.2463724597264</v>
      </c>
      <c r="J7" s="851">
        <f>'Feb midyear adj_Connections'!K8</f>
        <v>-2124.6231862298632</v>
      </c>
      <c r="K7" s="851">
        <f t="shared" si="6"/>
        <v>2124.6231862298632</v>
      </c>
      <c r="L7" s="851">
        <f t="shared" si="7"/>
        <v>48866.333283286847</v>
      </c>
      <c r="M7" s="851">
        <f t="shared" si="8"/>
        <v>-122</v>
      </c>
      <c r="N7" s="852">
        <f t="shared" si="9"/>
        <v>48744.333283286847</v>
      </c>
      <c r="O7" s="852">
        <v>0</v>
      </c>
      <c r="P7" s="853">
        <f t="shared" si="10"/>
        <v>48744.333283286847</v>
      </c>
      <c r="Q7" s="854"/>
      <c r="R7" s="853">
        <f t="shared" si="11"/>
        <v>48744.333283286847</v>
      </c>
      <c r="S7" s="853">
        <f>3885*8</f>
        <v>31080</v>
      </c>
      <c r="T7" s="853">
        <f t="shared" si="12"/>
        <v>17664.333283286847</v>
      </c>
      <c r="U7" s="853">
        <f t="shared" si="13"/>
        <v>4416</v>
      </c>
      <c r="V7" s="856">
        <f>'[11]FY2011-12_Final'!$K10*90%</f>
        <v>4140.9000000000005</v>
      </c>
      <c r="W7" s="856">
        <f t="shared" si="14"/>
        <v>45549.900000000009</v>
      </c>
      <c r="X7" s="857">
        <f>'Oct midyear adj_Connections'!E8</f>
        <v>1</v>
      </c>
      <c r="Y7" s="856">
        <f t="shared" si="15"/>
        <v>4140.9000000000005</v>
      </c>
      <c r="Z7" s="857">
        <f>'Feb midyear adj_Connections'!E8</f>
        <v>-1</v>
      </c>
      <c r="AA7" s="856">
        <f t="shared" si="16"/>
        <v>-2070.4500000000003</v>
      </c>
      <c r="AB7" s="856">
        <f t="shared" si="17"/>
        <v>2070.4500000000003</v>
      </c>
      <c r="AC7" s="856">
        <f t="shared" si="18"/>
        <v>47620.350000000013</v>
      </c>
      <c r="AD7" s="856">
        <f t="shared" si="19"/>
        <v>-119</v>
      </c>
      <c r="AE7" s="856">
        <f t="shared" si="20"/>
        <v>47501.350000000013</v>
      </c>
      <c r="AF7" s="855">
        <v>0</v>
      </c>
      <c r="AG7" s="858">
        <f t="shared" si="21"/>
        <v>47501.350000000013</v>
      </c>
      <c r="AH7" s="858">
        <f>3792*8</f>
        <v>30336</v>
      </c>
      <c r="AI7" s="858">
        <f t="shared" si="22"/>
        <v>17165.350000000013</v>
      </c>
      <c r="AJ7" s="858">
        <f t="shared" si="23"/>
        <v>4291</v>
      </c>
      <c r="AK7" s="859">
        <f t="shared" si="24"/>
        <v>96245.683283286868</v>
      </c>
      <c r="AL7" s="859">
        <f t="shared" si="1"/>
        <v>8707</v>
      </c>
      <c r="AM7" s="1517"/>
      <c r="AN7" s="1517">
        <v>-114</v>
      </c>
      <c r="AO7" s="1521">
        <f t="shared" si="2"/>
        <v>-5</v>
      </c>
    </row>
    <row r="8" spans="1:41" s="795" customFormat="1" ht="16.5" customHeight="1">
      <c r="A8" s="836">
        <v>4</v>
      </c>
      <c r="B8" s="837" t="s">
        <v>182</v>
      </c>
      <c r="C8" s="849">
        <v>2</v>
      </c>
      <c r="D8" s="850">
        <f>'Table 3 Levels 1&amp;2'!AL11*90%</f>
        <v>5437.7563294083247</v>
      </c>
      <c r="E8" s="850">
        <f t="shared" si="3"/>
        <v>10875.512658816649</v>
      </c>
      <c r="F8" s="851">
        <f>'Table 4 Level 3'!P9*90%</f>
        <v>527.18399999999997</v>
      </c>
      <c r="G8" s="851">
        <f t="shared" si="4"/>
        <v>1054.3679999999999</v>
      </c>
      <c r="H8" s="851">
        <f t="shared" si="5"/>
        <v>11929.88065881665</v>
      </c>
      <c r="I8" s="851">
        <f>'Oct midyear adj_Connections'!K9</f>
        <v>11929.88065881665</v>
      </c>
      <c r="J8" s="851">
        <f>'Feb midyear adj_Connections'!K9</f>
        <v>-2982.4701647041625</v>
      </c>
      <c r="K8" s="851">
        <f t="shared" si="6"/>
        <v>8947.4104941124879</v>
      </c>
      <c r="L8" s="851">
        <f t="shared" si="7"/>
        <v>20877.291152929138</v>
      </c>
      <c r="M8" s="851">
        <f t="shared" si="8"/>
        <v>-52</v>
      </c>
      <c r="N8" s="852">
        <f t="shared" si="9"/>
        <v>20825.291152929138</v>
      </c>
      <c r="O8" s="852">
        <v>0</v>
      </c>
      <c r="P8" s="853">
        <f t="shared" si="10"/>
        <v>20825.291152929138</v>
      </c>
      <c r="Q8" s="854"/>
      <c r="R8" s="853">
        <f t="shared" si="11"/>
        <v>20825.291152929138</v>
      </c>
      <c r="S8" s="853">
        <f>992*8</f>
        <v>7936</v>
      </c>
      <c r="T8" s="853">
        <f t="shared" si="12"/>
        <v>12889.291152929138</v>
      </c>
      <c r="U8" s="853">
        <f t="shared" si="13"/>
        <v>3222</v>
      </c>
      <c r="V8" s="856">
        <f>'[11]FY2011-12_Final'!$K11*90%</f>
        <v>2875.5</v>
      </c>
      <c r="W8" s="856">
        <f t="shared" si="14"/>
        <v>5751</v>
      </c>
      <c r="X8" s="857">
        <f>'Oct midyear adj_Connections'!E9</f>
        <v>2</v>
      </c>
      <c r="Y8" s="856">
        <f t="shared" si="15"/>
        <v>5751</v>
      </c>
      <c r="Z8" s="857">
        <f>'Feb midyear adj_Connections'!E9</f>
        <v>-1</v>
      </c>
      <c r="AA8" s="856">
        <f t="shared" si="16"/>
        <v>-1437.75</v>
      </c>
      <c r="AB8" s="856">
        <f t="shared" si="17"/>
        <v>4313.25</v>
      </c>
      <c r="AC8" s="856">
        <f t="shared" si="18"/>
        <v>10064.25</v>
      </c>
      <c r="AD8" s="856">
        <f t="shared" si="19"/>
        <v>-25</v>
      </c>
      <c r="AE8" s="856">
        <f t="shared" si="20"/>
        <v>10039.25</v>
      </c>
      <c r="AF8" s="855">
        <v>0</v>
      </c>
      <c r="AG8" s="858">
        <f t="shared" si="21"/>
        <v>10039.25</v>
      </c>
      <c r="AH8" s="858">
        <f>449*8</f>
        <v>3592</v>
      </c>
      <c r="AI8" s="858">
        <f t="shared" si="22"/>
        <v>6447.25</v>
      </c>
      <c r="AJ8" s="858">
        <f t="shared" si="23"/>
        <v>1612</v>
      </c>
      <c r="AK8" s="859">
        <f t="shared" si="24"/>
        <v>30864.541152929138</v>
      </c>
      <c r="AL8" s="859">
        <f t="shared" si="1"/>
        <v>4834</v>
      </c>
      <c r="AM8" s="1517"/>
      <c r="AN8" s="1517">
        <v>-13</v>
      </c>
      <c r="AO8" s="1521">
        <f t="shared" si="2"/>
        <v>-12</v>
      </c>
    </row>
    <row r="9" spans="1:41" s="795" customFormat="1" ht="16.5" customHeight="1">
      <c r="A9" s="860">
        <v>5</v>
      </c>
      <c r="B9" s="861" t="s">
        <v>183</v>
      </c>
      <c r="C9" s="862">
        <v>13</v>
      </c>
      <c r="D9" s="863">
        <f>'Table 3 Levels 1&amp;2'!AL12*90%</f>
        <v>4392.6597520963815</v>
      </c>
      <c r="E9" s="863">
        <f t="shared" si="3"/>
        <v>57104.576777252958</v>
      </c>
      <c r="F9" s="864">
        <f>'Table 4 Level 3'!P10*90%</f>
        <v>500.31899999999996</v>
      </c>
      <c r="G9" s="864">
        <f t="shared" si="4"/>
        <v>6504.146999999999</v>
      </c>
      <c r="H9" s="864">
        <f t="shared" si="5"/>
        <v>63608.723777252955</v>
      </c>
      <c r="I9" s="864">
        <f>'Oct midyear adj_Connections'!K10</f>
        <v>-39143.830016771055</v>
      </c>
      <c r="J9" s="864">
        <f>'Feb midyear adj_Connections'!K10</f>
        <v>-2446.4893760481909</v>
      </c>
      <c r="K9" s="864">
        <f t="shared" si="6"/>
        <v>-41590.319392819249</v>
      </c>
      <c r="L9" s="864">
        <f t="shared" si="7"/>
        <v>22018.40438443371</v>
      </c>
      <c r="M9" s="864">
        <f t="shared" si="8"/>
        <v>-55</v>
      </c>
      <c r="N9" s="865">
        <f t="shared" si="9"/>
        <v>21963.40438443371</v>
      </c>
      <c r="O9" s="865">
        <v>0</v>
      </c>
      <c r="P9" s="866">
        <f t="shared" si="10"/>
        <v>21963.40438443371</v>
      </c>
      <c r="Q9" s="867"/>
      <c r="R9" s="866">
        <f t="shared" si="11"/>
        <v>21963.40438443371</v>
      </c>
      <c r="S9" s="866">
        <f>5287*8</f>
        <v>42296</v>
      </c>
      <c r="T9" s="866">
        <f t="shared" si="12"/>
        <v>-20332.59561556629</v>
      </c>
      <c r="U9" s="866">
        <f t="shared" si="13"/>
        <v>-5083</v>
      </c>
      <c r="V9" s="869">
        <f>'[11]FY2011-12_Final'!$K12*90%</f>
        <v>1160.1000000000001</v>
      </c>
      <c r="W9" s="869">
        <f t="shared" si="14"/>
        <v>15081.300000000001</v>
      </c>
      <c r="X9" s="870">
        <f>'Oct midyear adj_Connections'!E10</f>
        <v>-8</v>
      </c>
      <c r="Y9" s="869">
        <f t="shared" si="15"/>
        <v>-9280.8000000000011</v>
      </c>
      <c r="Z9" s="870">
        <f>'Feb midyear adj_Connections'!E10</f>
        <v>-1</v>
      </c>
      <c r="AA9" s="869">
        <f t="shared" si="16"/>
        <v>-580.05000000000007</v>
      </c>
      <c r="AB9" s="869">
        <f t="shared" si="17"/>
        <v>-9860.85</v>
      </c>
      <c r="AC9" s="869">
        <f t="shared" si="18"/>
        <v>5220.45</v>
      </c>
      <c r="AD9" s="869">
        <f t="shared" si="19"/>
        <v>-13</v>
      </c>
      <c r="AE9" s="869">
        <f t="shared" si="20"/>
        <v>5207.45</v>
      </c>
      <c r="AF9" s="868">
        <v>0</v>
      </c>
      <c r="AG9" s="871">
        <f t="shared" si="21"/>
        <v>5207.45</v>
      </c>
      <c r="AH9" s="871">
        <f>1115*8</f>
        <v>8920</v>
      </c>
      <c r="AI9" s="871">
        <f t="shared" si="22"/>
        <v>-3712.55</v>
      </c>
      <c r="AJ9" s="871">
        <f t="shared" si="23"/>
        <v>-928</v>
      </c>
      <c r="AK9" s="872">
        <f t="shared" si="24"/>
        <v>27170.854384433711</v>
      </c>
      <c r="AL9" s="872">
        <f t="shared" si="1"/>
        <v>-6011</v>
      </c>
      <c r="AM9" s="1517"/>
      <c r="AN9" s="1517">
        <v>-34</v>
      </c>
      <c r="AO9" s="1521">
        <f t="shared" si="2"/>
        <v>21</v>
      </c>
    </row>
    <row r="10" spans="1:41" s="795" customFormat="1" ht="16.5" customHeight="1">
      <c r="A10" s="836">
        <v>6</v>
      </c>
      <c r="B10" s="837" t="s">
        <v>184</v>
      </c>
      <c r="C10" s="838">
        <v>5</v>
      </c>
      <c r="D10" s="839">
        <f>'Table 3 Levels 1&amp;2'!AL13*90%</f>
        <v>5072.3139727898033</v>
      </c>
      <c r="E10" s="839">
        <f t="shared" si="3"/>
        <v>25361.569863949015</v>
      </c>
      <c r="F10" s="840">
        <f>'Table 4 Level 3'!P11*90%</f>
        <v>490.9319999999999</v>
      </c>
      <c r="G10" s="840">
        <f t="shared" si="4"/>
        <v>2454.6599999999994</v>
      </c>
      <c r="H10" s="840">
        <f t="shared" si="5"/>
        <v>27816.229863949015</v>
      </c>
      <c r="I10" s="840">
        <f>'Oct midyear adj_Connections'!K11</f>
        <v>-11126.491945579606</v>
      </c>
      <c r="J10" s="840">
        <f>'Feb midyear adj_Connections'!K11</f>
        <v>5563.2459727898031</v>
      </c>
      <c r="K10" s="840">
        <f t="shared" si="6"/>
        <v>-5563.2459727898031</v>
      </c>
      <c r="L10" s="840">
        <f t="shared" si="7"/>
        <v>22252.983891159209</v>
      </c>
      <c r="M10" s="840">
        <f t="shared" si="8"/>
        <v>-56</v>
      </c>
      <c r="N10" s="841">
        <f t="shared" si="9"/>
        <v>22196.983891159209</v>
      </c>
      <c r="O10" s="841">
        <v>0</v>
      </c>
      <c r="P10" s="842">
        <f t="shared" si="10"/>
        <v>22196.983891159209</v>
      </c>
      <c r="Q10" s="843"/>
      <c r="R10" s="842">
        <f t="shared" si="11"/>
        <v>22196.983891159209</v>
      </c>
      <c r="S10" s="842">
        <f>2312*8</f>
        <v>18496</v>
      </c>
      <c r="T10" s="842">
        <f t="shared" si="12"/>
        <v>3700.9838911592087</v>
      </c>
      <c r="U10" s="842">
        <f t="shared" si="13"/>
        <v>925</v>
      </c>
      <c r="V10" s="845">
        <f>'[11]FY2011-12_Final'!$K13*90%</f>
        <v>2756.7000000000003</v>
      </c>
      <c r="W10" s="845">
        <f t="shared" si="14"/>
        <v>13783.500000000002</v>
      </c>
      <c r="X10" s="846">
        <f>'Oct midyear adj_Connections'!E11</f>
        <v>-2</v>
      </c>
      <c r="Y10" s="845">
        <f t="shared" si="15"/>
        <v>-5513.4000000000005</v>
      </c>
      <c r="Z10" s="846">
        <f>'Feb midyear adj_Connections'!E11</f>
        <v>2</v>
      </c>
      <c r="AA10" s="845">
        <f t="shared" si="16"/>
        <v>2756.7000000000003</v>
      </c>
      <c r="AB10" s="845">
        <f t="shared" si="17"/>
        <v>-2756.7000000000003</v>
      </c>
      <c r="AC10" s="845">
        <f t="shared" si="18"/>
        <v>11026.800000000003</v>
      </c>
      <c r="AD10" s="845">
        <f t="shared" si="19"/>
        <v>-28</v>
      </c>
      <c r="AE10" s="845">
        <f t="shared" si="20"/>
        <v>10998.800000000003</v>
      </c>
      <c r="AF10" s="844">
        <v>0</v>
      </c>
      <c r="AG10" s="847">
        <f t="shared" si="21"/>
        <v>10998.800000000003</v>
      </c>
      <c r="AH10" s="847">
        <f>1153*8</f>
        <v>9224</v>
      </c>
      <c r="AI10" s="847">
        <f t="shared" si="22"/>
        <v>1774.8000000000029</v>
      </c>
      <c r="AJ10" s="847">
        <f t="shared" si="23"/>
        <v>444</v>
      </c>
      <c r="AK10" s="848">
        <f t="shared" si="24"/>
        <v>33195.783891159212</v>
      </c>
      <c r="AL10" s="848">
        <f t="shared" si="1"/>
        <v>1369</v>
      </c>
      <c r="AM10" s="1517"/>
      <c r="AN10" s="1517">
        <v>-35</v>
      </c>
      <c r="AO10" s="1521">
        <f t="shared" si="2"/>
        <v>7</v>
      </c>
    </row>
    <row r="11" spans="1:41" s="795" customFormat="1" ht="16.5" customHeight="1">
      <c r="A11" s="836">
        <v>7</v>
      </c>
      <c r="B11" s="837" t="s">
        <v>185</v>
      </c>
      <c r="C11" s="849">
        <v>0</v>
      </c>
      <c r="D11" s="850">
        <f>'Table 3 Levels 1&amp;2'!AL14*90%</f>
        <v>1385.9737278509767</v>
      </c>
      <c r="E11" s="850">
        <f t="shared" si="3"/>
        <v>0</v>
      </c>
      <c r="F11" s="851">
        <f>'Table 4 Level 3'!P12*90%</f>
        <v>681.22799999999984</v>
      </c>
      <c r="G11" s="851">
        <f t="shared" si="4"/>
        <v>0</v>
      </c>
      <c r="H11" s="851">
        <f t="shared" si="5"/>
        <v>0</v>
      </c>
      <c r="I11" s="851">
        <f>'Oct midyear adj_Connections'!K12</f>
        <v>10336.008639254884</v>
      </c>
      <c r="J11" s="851">
        <f>'Feb midyear adj_Connections'!K12</f>
        <v>1033.6008639254883</v>
      </c>
      <c r="K11" s="851">
        <f t="shared" si="6"/>
        <v>11369.609503180372</v>
      </c>
      <c r="L11" s="851">
        <f t="shared" si="7"/>
        <v>11369.609503180372</v>
      </c>
      <c r="M11" s="851">
        <f t="shared" si="8"/>
        <v>-28</v>
      </c>
      <c r="N11" s="852">
        <f t="shared" si="9"/>
        <v>11341.609503180372</v>
      </c>
      <c r="O11" s="852">
        <v>0</v>
      </c>
      <c r="P11" s="853">
        <f t="shared" si="10"/>
        <v>11341.609503180372</v>
      </c>
      <c r="Q11" s="854"/>
      <c r="R11" s="853">
        <f t="shared" si="11"/>
        <v>11341.609503180372</v>
      </c>
      <c r="S11" s="853">
        <f>0*8</f>
        <v>0</v>
      </c>
      <c r="T11" s="853">
        <f t="shared" si="12"/>
        <v>11341.609503180372</v>
      </c>
      <c r="U11" s="853">
        <f t="shared" si="13"/>
        <v>2835</v>
      </c>
      <c r="V11" s="856">
        <f>'[11]FY2011-12_Final'!$K14*90%</f>
        <v>11348.1</v>
      </c>
      <c r="W11" s="856">
        <f t="shared" si="14"/>
        <v>0</v>
      </c>
      <c r="X11" s="857">
        <f>'Oct midyear adj_Connections'!E12</f>
        <v>5</v>
      </c>
      <c r="Y11" s="856">
        <f t="shared" si="15"/>
        <v>56740.5</v>
      </c>
      <c r="Z11" s="857">
        <f>'Feb midyear adj_Connections'!E12</f>
        <v>1</v>
      </c>
      <c r="AA11" s="856">
        <f t="shared" si="16"/>
        <v>5674.05</v>
      </c>
      <c r="AB11" s="856">
        <f t="shared" si="17"/>
        <v>62414.55</v>
      </c>
      <c r="AC11" s="856">
        <f t="shared" si="18"/>
        <v>62414.55</v>
      </c>
      <c r="AD11" s="856">
        <f t="shared" si="19"/>
        <v>-156</v>
      </c>
      <c r="AE11" s="856">
        <f t="shared" si="20"/>
        <v>62258.55</v>
      </c>
      <c r="AF11" s="855">
        <v>0</v>
      </c>
      <c r="AG11" s="858">
        <f t="shared" si="21"/>
        <v>62258.55</v>
      </c>
      <c r="AH11" s="858">
        <f>0*8</f>
        <v>0</v>
      </c>
      <c r="AI11" s="858">
        <f t="shared" si="22"/>
        <v>62258.55</v>
      </c>
      <c r="AJ11" s="858">
        <f t="shared" si="23"/>
        <v>15565</v>
      </c>
      <c r="AK11" s="859">
        <f t="shared" si="24"/>
        <v>73600.159503180374</v>
      </c>
      <c r="AL11" s="859">
        <f t="shared" si="1"/>
        <v>18400</v>
      </c>
      <c r="AM11" s="1517"/>
      <c r="AN11" s="1517">
        <v>0</v>
      </c>
      <c r="AO11" s="1521">
        <f t="shared" si="2"/>
        <v>-156</v>
      </c>
    </row>
    <row r="12" spans="1:41" s="795" customFormat="1" ht="16.5" customHeight="1">
      <c r="A12" s="836">
        <v>8</v>
      </c>
      <c r="B12" s="837" t="s">
        <v>186</v>
      </c>
      <c r="C12" s="849">
        <v>16</v>
      </c>
      <c r="D12" s="850">
        <f>'Table 3 Levels 1&amp;2'!AL15*90%</f>
        <v>3601.2056558252466</v>
      </c>
      <c r="E12" s="850">
        <f t="shared" si="3"/>
        <v>57619.290493203946</v>
      </c>
      <c r="F12" s="851">
        <f>'Table 4 Level 3'!P13*90%</f>
        <v>653.18399999999997</v>
      </c>
      <c r="G12" s="851">
        <f t="shared" si="4"/>
        <v>10450.944</v>
      </c>
      <c r="H12" s="851">
        <f t="shared" si="5"/>
        <v>68070.234493203941</v>
      </c>
      <c r="I12" s="851">
        <f>'Oct midyear adj_Connections'!K13</f>
        <v>0</v>
      </c>
      <c r="J12" s="851">
        <f>'Feb midyear adj_Connections'!K13</f>
        <v>12763.16896747574</v>
      </c>
      <c r="K12" s="851">
        <f t="shared" si="6"/>
        <v>12763.16896747574</v>
      </c>
      <c r="L12" s="851">
        <f t="shared" si="7"/>
        <v>80833.403460679678</v>
      </c>
      <c r="M12" s="851">
        <f t="shared" si="8"/>
        <v>-202</v>
      </c>
      <c r="N12" s="852">
        <f t="shared" si="9"/>
        <v>80631.403460679678</v>
      </c>
      <c r="O12" s="852">
        <v>0</v>
      </c>
      <c r="P12" s="853">
        <f t="shared" si="10"/>
        <v>80631.403460679678</v>
      </c>
      <c r="Q12" s="854"/>
      <c r="R12" s="853">
        <f t="shared" si="11"/>
        <v>80631.403460679678</v>
      </c>
      <c r="S12" s="853">
        <f>5658*8</f>
        <v>45264</v>
      </c>
      <c r="T12" s="853">
        <f t="shared" si="12"/>
        <v>35367.403460679678</v>
      </c>
      <c r="U12" s="853">
        <f t="shared" si="13"/>
        <v>8842</v>
      </c>
      <c r="V12" s="856">
        <f>'[11]FY2011-12_Final'!$K15*90%</f>
        <v>3858.3</v>
      </c>
      <c r="W12" s="856">
        <f t="shared" si="14"/>
        <v>61732.800000000003</v>
      </c>
      <c r="X12" s="857">
        <f>'Oct midyear adj_Connections'!E13</f>
        <v>0</v>
      </c>
      <c r="Y12" s="856">
        <f t="shared" si="15"/>
        <v>0</v>
      </c>
      <c r="Z12" s="857">
        <f>'Feb midyear adj_Connections'!E13</f>
        <v>6</v>
      </c>
      <c r="AA12" s="856">
        <f t="shared" si="16"/>
        <v>11574.900000000001</v>
      </c>
      <c r="AB12" s="856">
        <f t="shared" si="17"/>
        <v>11574.900000000001</v>
      </c>
      <c r="AC12" s="856">
        <f t="shared" si="18"/>
        <v>73307.700000000012</v>
      </c>
      <c r="AD12" s="856">
        <f t="shared" si="19"/>
        <v>-183</v>
      </c>
      <c r="AE12" s="856">
        <f t="shared" si="20"/>
        <v>73124.700000000012</v>
      </c>
      <c r="AF12" s="855">
        <v>0</v>
      </c>
      <c r="AG12" s="858">
        <f t="shared" si="21"/>
        <v>73124.700000000012</v>
      </c>
      <c r="AH12" s="858">
        <f>5103*8</f>
        <v>40824</v>
      </c>
      <c r="AI12" s="858">
        <f t="shared" si="22"/>
        <v>32300.700000000012</v>
      </c>
      <c r="AJ12" s="858">
        <f t="shared" si="23"/>
        <v>8075</v>
      </c>
      <c r="AK12" s="859">
        <f t="shared" si="24"/>
        <v>153756.1034606797</v>
      </c>
      <c r="AL12" s="859">
        <f t="shared" si="1"/>
        <v>16917</v>
      </c>
      <c r="AM12" s="1517"/>
      <c r="AN12" s="1517">
        <v>-153</v>
      </c>
      <c r="AO12" s="1521">
        <f t="shared" si="2"/>
        <v>-30</v>
      </c>
    </row>
    <row r="13" spans="1:41" s="795" customFormat="1" ht="16.5" customHeight="1">
      <c r="A13" s="836">
        <v>9</v>
      </c>
      <c r="B13" s="837" t="s">
        <v>77</v>
      </c>
      <c r="C13" s="849">
        <v>38</v>
      </c>
      <c r="D13" s="850">
        <f>'Table 3 Levels 1&amp;2'!AL16*90%</f>
        <v>3946.4201542979081</v>
      </c>
      <c r="E13" s="850">
        <f t="shared" si="3"/>
        <v>149963.96586332051</v>
      </c>
      <c r="F13" s="851">
        <f>'Table 4 Level 3'!P14*90%</f>
        <v>670.28399999999999</v>
      </c>
      <c r="G13" s="851">
        <f t="shared" si="4"/>
        <v>25470.792000000001</v>
      </c>
      <c r="H13" s="851">
        <f t="shared" si="5"/>
        <v>175434.75786332053</v>
      </c>
      <c r="I13" s="851">
        <f>'Oct midyear adj_Connections'!K14</f>
        <v>-4616.7041542979077</v>
      </c>
      <c r="J13" s="851">
        <f>'Feb midyear adj_Connections'!K14</f>
        <v>0</v>
      </c>
      <c r="K13" s="851">
        <f t="shared" si="6"/>
        <v>-4616.7041542979077</v>
      </c>
      <c r="L13" s="851">
        <f t="shared" si="7"/>
        <v>170818.05370902261</v>
      </c>
      <c r="M13" s="851">
        <f t="shared" si="8"/>
        <v>-427</v>
      </c>
      <c r="N13" s="852">
        <f t="shared" si="9"/>
        <v>170391.05370902261</v>
      </c>
      <c r="O13" s="852">
        <v>0</v>
      </c>
      <c r="P13" s="853">
        <f t="shared" si="10"/>
        <v>170391.05370902261</v>
      </c>
      <c r="Q13" s="854"/>
      <c r="R13" s="853">
        <f t="shared" si="11"/>
        <v>170391.05370902261</v>
      </c>
      <c r="S13" s="853">
        <f>14583*8</f>
        <v>116664</v>
      </c>
      <c r="T13" s="853">
        <f t="shared" si="12"/>
        <v>53727.053709022613</v>
      </c>
      <c r="U13" s="853">
        <f t="shared" si="13"/>
        <v>13432</v>
      </c>
      <c r="V13" s="856">
        <f>'[11]FY2011-12_Final'!$K16*90%</f>
        <v>4122</v>
      </c>
      <c r="W13" s="856">
        <f t="shared" si="14"/>
        <v>156636</v>
      </c>
      <c r="X13" s="857">
        <f>'Oct midyear adj_Connections'!E14</f>
        <v>-1</v>
      </c>
      <c r="Y13" s="856">
        <f t="shared" si="15"/>
        <v>-4122</v>
      </c>
      <c r="Z13" s="857">
        <f>'Feb midyear adj_Connections'!E14</f>
        <v>0</v>
      </c>
      <c r="AA13" s="856">
        <f t="shared" si="16"/>
        <v>0</v>
      </c>
      <c r="AB13" s="856">
        <f t="shared" si="17"/>
        <v>-4122</v>
      </c>
      <c r="AC13" s="856">
        <f t="shared" si="18"/>
        <v>152514</v>
      </c>
      <c r="AD13" s="856">
        <f t="shared" si="19"/>
        <v>-381</v>
      </c>
      <c r="AE13" s="856">
        <f t="shared" si="20"/>
        <v>152133</v>
      </c>
      <c r="AF13" s="855">
        <v>0</v>
      </c>
      <c r="AG13" s="858">
        <f t="shared" si="21"/>
        <v>152133</v>
      </c>
      <c r="AH13" s="858">
        <f>12659*8</f>
        <v>101272</v>
      </c>
      <c r="AI13" s="858">
        <f t="shared" si="22"/>
        <v>50861</v>
      </c>
      <c r="AJ13" s="858">
        <f t="shared" si="23"/>
        <v>12715</v>
      </c>
      <c r="AK13" s="859">
        <f t="shared" si="24"/>
        <v>322524.05370902258</v>
      </c>
      <c r="AL13" s="859">
        <f t="shared" si="1"/>
        <v>26147</v>
      </c>
      <c r="AM13" s="1517"/>
      <c r="AN13" s="1517">
        <v>-381</v>
      </c>
      <c r="AO13" s="1521">
        <f t="shared" si="2"/>
        <v>0</v>
      </c>
    </row>
    <row r="14" spans="1:41" s="795" customFormat="1" ht="16.5" customHeight="1">
      <c r="A14" s="860">
        <v>10</v>
      </c>
      <c r="B14" s="861" t="s">
        <v>187</v>
      </c>
      <c r="C14" s="862">
        <v>45</v>
      </c>
      <c r="D14" s="863">
        <f>'Table 3 Levels 1&amp;2'!AL17*90%</f>
        <v>3880.929874751208</v>
      </c>
      <c r="E14" s="863">
        <f t="shared" si="3"/>
        <v>174641.84436380435</v>
      </c>
      <c r="F14" s="864">
        <f>'Table 4 Level 3'!P15*90%</f>
        <v>547.2360000000001</v>
      </c>
      <c r="G14" s="864">
        <f t="shared" si="4"/>
        <v>24625.620000000006</v>
      </c>
      <c r="H14" s="864">
        <f t="shared" si="5"/>
        <v>199267.46436380435</v>
      </c>
      <c r="I14" s="864">
        <f>'Oct midyear adj_Connections'!K15</f>
        <v>-75278.819870770545</v>
      </c>
      <c r="J14" s="864">
        <f>'Feb midyear adj_Connections'!K15</f>
        <v>-4428.1658747512083</v>
      </c>
      <c r="K14" s="864">
        <f t="shared" si="6"/>
        <v>-79706.985745521757</v>
      </c>
      <c r="L14" s="864">
        <f t="shared" si="7"/>
        <v>119560.47861828259</v>
      </c>
      <c r="M14" s="864">
        <f t="shared" si="8"/>
        <v>-299</v>
      </c>
      <c r="N14" s="865">
        <f t="shared" si="9"/>
        <v>119261.47861828259</v>
      </c>
      <c r="O14" s="865">
        <v>0</v>
      </c>
      <c r="P14" s="866">
        <f t="shared" si="10"/>
        <v>119261.47861828259</v>
      </c>
      <c r="Q14" s="867"/>
      <c r="R14" s="866">
        <f t="shared" si="11"/>
        <v>119261.47861828259</v>
      </c>
      <c r="S14" s="866">
        <f>16564*8</f>
        <v>132512</v>
      </c>
      <c r="T14" s="866">
        <f t="shared" si="12"/>
        <v>-13250.521381717408</v>
      </c>
      <c r="U14" s="866">
        <f t="shared" si="13"/>
        <v>-3313</v>
      </c>
      <c r="V14" s="869">
        <f>'[11]FY2011-12_Final'!$K17*90%</f>
        <v>3746.7000000000003</v>
      </c>
      <c r="W14" s="869">
        <f t="shared" si="14"/>
        <v>168601.5</v>
      </c>
      <c r="X14" s="870">
        <f>'Oct midyear adj_Connections'!E15</f>
        <v>-17</v>
      </c>
      <c r="Y14" s="869">
        <f t="shared" si="15"/>
        <v>-63693.9</v>
      </c>
      <c r="Z14" s="870">
        <f>'Feb midyear adj_Connections'!E15</f>
        <v>-2</v>
      </c>
      <c r="AA14" s="869">
        <f t="shared" si="16"/>
        <v>-3746.7000000000003</v>
      </c>
      <c r="AB14" s="869">
        <f t="shared" si="17"/>
        <v>-67440.600000000006</v>
      </c>
      <c r="AC14" s="869">
        <f t="shared" si="18"/>
        <v>101160.90000000001</v>
      </c>
      <c r="AD14" s="869">
        <f t="shared" si="19"/>
        <v>-253</v>
      </c>
      <c r="AE14" s="869">
        <f t="shared" si="20"/>
        <v>100907.90000000001</v>
      </c>
      <c r="AF14" s="868">
        <v>0</v>
      </c>
      <c r="AG14" s="871">
        <f t="shared" si="21"/>
        <v>100907.90000000001</v>
      </c>
      <c r="AH14" s="871">
        <f>13749*8</f>
        <v>109992</v>
      </c>
      <c r="AI14" s="871">
        <f t="shared" si="22"/>
        <v>-9084.0999999999913</v>
      </c>
      <c r="AJ14" s="871">
        <f t="shared" si="23"/>
        <v>-2271</v>
      </c>
      <c r="AK14" s="872">
        <f t="shared" si="24"/>
        <v>220169.37861828262</v>
      </c>
      <c r="AL14" s="872">
        <f t="shared" si="1"/>
        <v>-5584</v>
      </c>
      <c r="AM14" s="1517"/>
      <c r="AN14" s="1517">
        <v>-414</v>
      </c>
      <c r="AO14" s="1521">
        <f t="shared" si="2"/>
        <v>161</v>
      </c>
    </row>
    <row r="15" spans="1:41" s="795" customFormat="1" ht="16.5" customHeight="1">
      <c r="A15" s="836">
        <v>11</v>
      </c>
      <c r="B15" s="837" t="s">
        <v>188</v>
      </c>
      <c r="C15" s="838">
        <v>0</v>
      </c>
      <c r="D15" s="839">
        <f>'Table 3 Levels 1&amp;2'!AL18*90%</f>
        <v>6000.6277483637386</v>
      </c>
      <c r="E15" s="839">
        <f t="shared" si="3"/>
        <v>0</v>
      </c>
      <c r="F15" s="840">
        <f>'Table 4 Level 3'!P16*90%</f>
        <v>635.89499999999998</v>
      </c>
      <c r="G15" s="840">
        <f t="shared" si="4"/>
        <v>0</v>
      </c>
      <c r="H15" s="840">
        <f t="shared" si="5"/>
        <v>0</v>
      </c>
      <c r="I15" s="840">
        <f>'Oct midyear adj_Connections'!K16</f>
        <v>0</v>
      </c>
      <c r="J15" s="840">
        <f>'Feb midyear adj_Connections'!K16</f>
        <v>0</v>
      </c>
      <c r="K15" s="840">
        <f t="shared" si="6"/>
        <v>0</v>
      </c>
      <c r="L15" s="840">
        <f t="shared" si="7"/>
        <v>0</v>
      </c>
      <c r="M15" s="840">
        <f t="shared" si="8"/>
        <v>0</v>
      </c>
      <c r="N15" s="841">
        <f t="shared" si="9"/>
        <v>0</v>
      </c>
      <c r="O15" s="841">
        <v>0</v>
      </c>
      <c r="P15" s="842">
        <f t="shared" si="10"/>
        <v>0</v>
      </c>
      <c r="Q15" s="843"/>
      <c r="R15" s="842">
        <f t="shared" si="11"/>
        <v>0</v>
      </c>
      <c r="S15" s="842">
        <f>0*8</f>
        <v>0</v>
      </c>
      <c r="T15" s="842">
        <f t="shared" si="12"/>
        <v>0</v>
      </c>
      <c r="U15" s="842">
        <f t="shared" si="13"/>
        <v>0</v>
      </c>
      <c r="V15" s="845">
        <f>'[11]FY2011-12_Final'!$K18*90%</f>
        <v>2968.2000000000003</v>
      </c>
      <c r="W15" s="845">
        <f t="shared" si="14"/>
        <v>0</v>
      </c>
      <c r="X15" s="846">
        <f>'Oct midyear adj_Connections'!E16</f>
        <v>0</v>
      </c>
      <c r="Y15" s="845">
        <f t="shared" si="15"/>
        <v>0</v>
      </c>
      <c r="Z15" s="846">
        <f>'Feb midyear adj_Connections'!E16</f>
        <v>0</v>
      </c>
      <c r="AA15" s="845">
        <f t="shared" si="16"/>
        <v>0</v>
      </c>
      <c r="AB15" s="845">
        <f t="shared" si="17"/>
        <v>0</v>
      </c>
      <c r="AC15" s="845">
        <f t="shared" si="18"/>
        <v>0</v>
      </c>
      <c r="AD15" s="845">
        <f t="shared" si="19"/>
        <v>0</v>
      </c>
      <c r="AE15" s="845">
        <f t="shared" si="20"/>
        <v>0</v>
      </c>
      <c r="AF15" s="844">
        <v>0</v>
      </c>
      <c r="AG15" s="847">
        <f t="shared" si="21"/>
        <v>0</v>
      </c>
      <c r="AH15" s="847">
        <f>0*8</f>
        <v>0</v>
      </c>
      <c r="AI15" s="847">
        <f t="shared" si="22"/>
        <v>0</v>
      </c>
      <c r="AJ15" s="847">
        <f t="shared" si="23"/>
        <v>0</v>
      </c>
      <c r="AK15" s="848">
        <f t="shared" si="24"/>
        <v>0</v>
      </c>
      <c r="AL15" s="848">
        <f t="shared" si="1"/>
        <v>0</v>
      </c>
      <c r="AM15" s="1517"/>
      <c r="AN15" s="1517">
        <v>0</v>
      </c>
      <c r="AO15" s="1521">
        <f t="shared" si="2"/>
        <v>0</v>
      </c>
    </row>
    <row r="16" spans="1:41" s="795" customFormat="1" ht="16.5" customHeight="1">
      <c r="A16" s="836">
        <v>12</v>
      </c>
      <c r="B16" s="837" t="s">
        <v>189</v>
      </c>
      <c r="C16" s="849">
        <v>0</v>
      </c>
      <c r="D16" s="850">
        <f>'Table 3 Levels 1&amp;2'!AL19*90%</f>
        <v>1463.8737701612904</v>
      </c>
      <c r="E16" s="850">
        <f t="shared" si="3"/>
        <v>0</v>
      </c>
      <c r="F16" s="851">
        <f>'Table 4 Level 3'!P17*90%</f>
        <v>956.97899999999993</v>
      </c>
      <c r="G16" s="851">
        <f t="shared" si="4"/>
        <v>0</v>
      </c>
      <c r="H16" s="851">
        <f t="shared" si="5"/>
        <v>0</v>
      </c>
      <c r="I16" s="851">
        <f>'Oct midyear adj_Connections'!K17</f>
        <v>4841.7055403225804</v>
      </c>
      <c r="J16" s="851">
        <f>'Feb midyear adj_Connections'!K17</f>
        <v>-2420.8527701612902</v>
      </c>
      <c r="K16" s="851">
        <f t="shared" si="6"/>
        <v>2420.8527701612902</v>
      </c>
      <c r="L16" s="851">
        <f t="shared" si="7"/>
        <v>2420.8527701612902</v>
      </c>
      <c r="M16" s="851">
        <f t="shared" si="8"/>
        <v>-6</v>
      </c>
      <c r="N16" s="852">
        <f t="shared" si="9"/>
        <v>2414.8527701612902</v>
      </c>
      <c r="O16" s="852">
        <v>0</v>
      </c>
      <c r="P16" s="853">
        <f t="shared" si="10"/>
        <v>2414.8527701612902</v>
      </c>
      <c r="Q16" s="854"/>
      <c r="R16" s="853">
        <f t="shared" si="11"/>
        <v>2414.8527701612902</v>
      </c>
      <c r="S16" s="853">
        <f>0*8</f>
        <v>0</v>
      </c>
      <c r="T16" s="853">
        <f t="shared" si="12"/>
        <v>2414.8527701612902</v>
      </c>
      <c r="U16" s="853">
        <f t="shared" si="13"/>
        <v>604</v>
      </c>
      <c r="V16" s="856">
        <f>'[11]FY2011-12_Final'!$K19*90%</f>
        <v>9981.9</v>
      </c>
      <c r="W16" s="856">
        <f t="shared" si="14"/>
        <v>0</v>
      </c>
      <c r="X16" s="857">
        <f>'Oct midyear adj_Connections'!E17</f>
        <v>2</v>
      </c>
      <c r="Y16" s="856">
        <f t="shared" si="15"/>
        <v>19963.8</v>
      </c>
      <c r="Z16" s="857">
        <f>'Feb midyear adj_Connections'!E17</f>
        <v>-2</v>
      </c>
      <c r="AA16" s="856">
        <f t="shared" si="16"/>
        <v>-9981.9</v>
      </c>
      <c r="AB16" s="856">
        <f t="shared" si="17"/>
        <v>9981.9</v>
      </c>
      <c r="AC16" s="856">
        <f t="shared" si="18"/>
        <v>9981.9</v>
      </c>
      <c r="AD16" s="856">
        <f t="shared" si="19"/>
        <v>-25</v>
      </c>
      <c r="AE16" s="856">
        <f t="shared" si="20"/>
        <v>9956.9</v>
      </c>
      <c r="AF16" s="855">
        <v>0</v>
      </c>
      <c r="AG16" s="858">
        <f t="shared" si="21"/>
        <v>9956.9</v>
      </c>
      <c r="AH16" s="858">
        <f>0*8</f>
        <v>0</v>
      </c>
      <c r="AI16" s="858">
        <f t="shared" si="22"/>
        <v>9956.9</v>
      </c>
      <c r="AJ16" s="858">
        <f t="shared" si="23"/>
        <v>2489</v>
      </c>
      <c r="AK16" s="859">
        <f t="shared" si="24"/>
        <v>12371.752770161289</v>
      </c>
      <c r="AL16" s="859">
        <f t="shared" si="1"/>
        <v>3093</v>
      </c>
      <c r="AM16" s="1517"/>
      <c r="AN16" s="1517">
        <v>0</v>
      </c>
      <c r="AO16" s="1521">
        <f t="shared" si="2"/>
        <v>-25</v>
      </c>
    </row>
    <row r="17" spans="1:41" s="795" customFormat="1" ht="16.5" customHeight="1">
      <c r="A17" s="836">
        <v>13</v>
      </c>
      <c r="B17" s="837" t="s">
        <v>190</v>
      </c>
      <c r="C17" s="849">
        <v>1</v>
      </c>
      <c r="D17" s="850">
        <f>'Table 3 Levels 1&amp;2'!AL20*90%</f>
        <v>5378.4402697520791</v>
      </c>
      <c r="E17" s="850">
        <f t="shared" si="3"/>
        <v>5378.4402697520791</v>
      </c>
      <c r="F17" s="851">
        <f>'Table 4 Level 3'!P18*90%</f>
        <v>674.48700000000008</v>
      </c>
      <c r="G17" s="851">
        <f t="shared" si="4"/>
        <v>674.48700000000008</v>
      </c>
      <c r="H17" s="851">
        <f t="shared" si="5"/>
        <v>6052.9272697520792</v>
      </c>
      <c r="I17" s="851">
        <f>'Oct midyear adj_Connections'!K18</f>
        <v>6052.9272697520792</v>
      </c>
      <c r="J17" s="851">
        <f>'Feb midyear adj_Connections'!K18</f>
        <v>12105.854539504158</v>
      </c>
      <c r="K17" s="851">
        <f t="shared" si="6"/>
        <v>18158.781809256237</v>
      </c>
      <c r="L17" s="851">
        <f t="shared" si="7"/>
        <v>24211.709079008317</v>
      </c>
      <c r="M17" s="851">
        <f t="shared" si="8"/>
        <v>-61</v>
      </c>
      <c r="N17" s="852">
        <f t="shared" si="9"/>
        <v>24150.709079008317</v>
      </c>
      <c r="O17" s="852">
        <v>0</v>
      </c>
      <c r="P17" s="853">
        <f t="shared" si="10"/>
        <v>24150.709079008317</v>
      </c>
      <c r="Q17" s="854"/>
      <c r="R17" s="853">
        <f t="shared" si="11"/>
        <v>24150.709079008317</v>
      </c>
      <c r="S17" s="853">
        <f>503*8</f>
        <v>4024</v>
      </c>
      <c r="T17" s="853">
        <f t="shared" si="12"/>
        <v>20126.709079008317</v>
      </c>
      <c r="U17" s="853">
        <f t="shared" si="13"/>
        <v>5032</v>
      </c>
      <c r="V17" s="856">
        <f>'[11]FY2011-12_Final'!$K20*90%</f>
        <v>2166.3000000000002</v>
      </c>
      <c r="W17" s="856">
        <f t="shared" si="14"/>
        <v>2166.3000000000002</v>
      </c>
      <c r="X17" s="857">
        <f>'Oct midyear adj_Connections'!E18</f>
        <v>1</v>
      </c>
      <c r="Y17" s="856">
        <f t="shared" si="15"/>
        <v>2166.3000000000002</v>
      </c>
      <c r="Z17" s="857">
        <f>'Feb midyear adj_Connections'!E18</f>
        <v>4</v>
      </c>
      <c r="AA17" s="856">
        <f t="shared" si="16"/>
        <v>4332.6000000000004</v>
      </c>
      <c r="AB17" s="856">
        <f t="shared" si="17"/>
        <v>6498.9000000000005</v>
      </c>
      <c r="AC17" s="856">
        <f t="shared" si="18"/>
        <v>8665.2000000000007</v>
      </c>
      <c r="AD17" s="856">
        <f t="shared" si="19"/>
        <v>-22</v>
      </c>
      <c r="AE17" s="856">
        <f t="shared" si="20"/>
        <v>8643.2000000000007</v>
      </c>
      <c r="AF17" s="855">
        <v>0</v>
      </c>
      <c r="AG17" s="858">
        <f t="shared" si="21"/>
        <v>8643.2000000000007</v>
      </c>
      <c r="AH17" s="858">
        <f>179*8</f>
        <v>1432</v>
      </c>
      <c r="AI17" s="858">
        <f t="shared" si="22"/>
        <v>7211.2000000000007</v>
      </c>
      <c r="AJ17" s="858">
        <f t="shared" si="23"/>
        <v>1803</v>
      </c>
      <c r="AK17" s="859">
        <f t="shared" si="24"/>
        <v>32793.909079008314</v>
      </c>
      <c r="AL17" s="859">
        <f t="shared" si="1"/>
        <v>6835</v>
      </c>
      <c r="AM17" s="1517"/>
      <c r="AN17" s="1517">
        <v>-5</v>
      </c>
      <c r="AO17" s="1521">
        <f t="shared" si="2"/>
        <v>-17</v>
      </c>
    </row>
    <row r="18" spans="1:41" s="795" customFormat="1" ht="16.5" customHeight="1">
      <c r="A18" s="836">
        <v>14</v>
      </c>
      <c r="B18" s="837" t="s">
        <v>191</v>
      </c>
      <c r="C18" s="849">
        <v>3</v>
      </c>
      <c r="D18" s="850">
        <f>'Table 3 Levels 1&amp;2'!AL21*90%</f>
        <v>5174.0803150666798</v>
      </c>
      <c r="E18" s="850">
        <f t="shared" si="3"/>
        <v>15522.240945200039</v>
      </c>
      <c r="F18" s="851">
        <f>'Table 4 Level 3'!P19*90%</f>
        <v>728.98199999999997</v>
      </c>
      <c r="G18" s="851">
        <f t="shared" si="4"/>
        <v>2186.9459999999999</v>
      </c>
      <c r="H18" s="851">
        <f t="shared" si="5"/>
        <v>17709.186945200039</v>
      </c>
      <c r="I18" s="851">
        <f>'Oct midyear adj_Connections'!K19</f>
        <v>23612.249260266719</v>
      </c>
      <c r="J18" s="851">
        <f>'Feb midyear adj_Connections'!K19</f>
        <v>0</v>
      </c>
      <c r="K18" s="851">
        <f t="shared" si="6"/>
        <v>23612.249260266719</v>
      </c>
      <c r="L18" s="851">
        <f t="shared" si="7"/>
        <v>41321.436205466758</v>
      </c>
      <c r="M18" s="851">
        <f t="shared" si="8"/>
        <v>-103</v>
      </c>
      <c r="N18" s="852">
        <f t="shared" si="9"/>
        <v>41218.436205466758</v>
      </c>
      <c r="O18" s="852">
        <v>0</v>
      </c>
      <c r="P18" s="853">
        <f t="shared" si="10"/>
        <v>41218.436205466758</v>
      </c>
      <c r="Q18" s="854"/>
      <c r="R18" s="853">
        <f t="shared" si="11"/>
        <v>41218.436205466758</v>
      </c>
      <c r="S18" s="853">
        <f>1472*8</f>
        <v>11776</v>
      </c>
      <c r="T18" s="853">
        <f t="shared" si="12"/>
        <v>29442.436205466758</v>
      </c>
      <c r="U18" s="853">
        <f t="shared" si="13"/>
        <v>7361</v>
      </c>
      <c r="V18" s="856">
        <f>'[11]FY2011-12_Final'!$K21*90%</f>
        <v>3016.8</v>
      </c>
      <c r="W18" s="856">
        <f t="shared" si="14"/>
        <v>9050.4000000000015</v>
      </c>
      <c r="X18" s="857">
        <f>'Oct midyear adj_Connections'!E19</f>
        <v>4</v>
      </c>
      <c r="Y18" s="856">
        <f t="shared" si="15"/>
        <v>12067.2</v>
      </c>
      <c r="Z18" s="857">
        <f>'Feb midyear adj_Connections'!E19</f>
        <v>0</v>
      </c>
      <c r="AA18" s="856">
        <f t="shared" si="16"/>
        <v>0</v>
      </c>
      <c r="AB18" s="856">
        <f t="shared" si="17"/>
        <v>12067.2</v>
      </c>
      <c r="AC18" s="856">
        <f t="shared" si="18"/>
        <v>21117.600000000002</v>
      </c>
      <c r="AD18" s="856">
        <f t="shared" si="19"/>
        <v>-53</v>
      </c>
      <c r="AE18" s="856">
        <f t="shared" si="20"/>
        <v>21064.600000000002</v>
      </c>
      <c r="AF18" s="855">
        <v>0</v>
      </c>
      <c r="AG18" s="858">
        <f t="shared" si="21"/>
        <v>21064.600000000002</v>
      </c>
      <c r="AH18" s="858">
        <f>712*8</f>
        <v>5696</v>
      </c>
      <c r="AI18" s="858">
        <f t="shared" si="22"/>
        <v>15368.600000000002</v>
      </c>
      <c r="AJ18" s="858">
        <f t="shared" si="23"/>
        <v>3842</v>
      </c>
      <c r="AK18" s="859">
        <f t="shared" si="24"/>
        <v>62283.036205466764</v>
      </c>
      <c r="AL18" s="859">
        <f t="shared" si="1"/>
        <v>11203</v>
      </c>
      <c r="AM18" s="1517"/>
      <c r="AN18" s="1517">
        <v>-21</v>
      </c>
      <c r="AO18" s="1521">
        <f t="shared" si="2"/>
        <v>-32</v>
      </c>
    </row>
    <row r="19" spans="1:41" s="795" customFormat="1" ht="16.5" customHeight="1">
      <c r="A19" s="860">
        <v>15</v>
      </c>
      <c r="B19" s="861" t="s">
        <v>192</v>
      </c>
      <c r="C19" s="862">
        <v>0</v>
      </c>
      <c r="D19" s="863">
        <f>'Table 3 Levels 1&amp;2'!AL22*90%</f>
        <v>4858.7192769100766</v>
      </c>
      <c r="E19" s="863">
        <f t="shared" si="3"/>
        <v>0</v>
      </c>
      <c r="F19" s="864">
        <f>'Table 4 Level 3'!P20*90%</f>
        <v>498.41999999999996</v>
      </c>
      <c r="G19" s="864">
        <f t="shared" si="4"/>
        <v>0</v>
      </c>
      <c r="H19" s="864">
        <f t="shared" si="5"/>
        <v>0</v>
      </c>
      <c r="I19" s="864">
        <f>'Oct midyear adj_Connections'!K20</f>
        <v>5357.1392769100767</v>
      </c>
      <c r="J19" s="864">
        <f>'Feb midyear adj_Connections'!K20</f>
        <v>0</v>
      </c>
      <c r="K19" s="864">
        <f t="shared" si="6"/>
        <v>5357.1392769100767</v>
      </c>
      <c r="L19" s="864">
        <f t="shared" si="7"/>
        <v>5357.1392769100767</v>
      </c>
      <c r="M19" s="864">
        <f t="shared" si="8"/>
        <v>-13</v>
      </c>
      <c r="N19" s="865">
        <f t="shared" si="9"/>
        <v>5344.1392769100767</v>
      </c>
      <c r="O19" s="865">
        <v>0</v>
      </c>
      <c r="P19" s="866">
        <f t="shared" si="10"/>
        <v>5344.1392769100767</v>
      </c>
      <c r="Q19" s="867"/>
      <c r="R19" s="866">
        <f t="shared" si="11"/>
        <v>5344.1392769100767</v>
      </c>
      <c r="S19" s="866">
        <f>0*8</f>
        <v>0</v>
      </c>
      <c r="T19" s="866">
        <f t="shared" si="12"/>
        <v>5344.1392769100767</v>
      </c>
      <c r="U19" s="866">
        <f t="shared" si="13"/>
        <v>1336</v>
      </c>
      <c r="V19" s="869">
        <f>'[11]FY2011-12_Final'!$K22*90%</f>
        <v>2295</v>
      </c>
      <c r="W19" s="869">
        <f t="shared" si="14"/>
        <v>0</v>
      </c>
      <c r="X19" s="870">
        <f>'Oct midyear adj_Connections'!E20</f>
        <v>1</v>
      </c>
      <c r="Y19" s="869">
        <f t="shared" si="15"/>
        <v>2295</v>
      </c>
      <c r="Z19" s="870">
        <f>'Feb midyear adj_Connections'!E20</f>
        <v>0</v>
      </c>
      <c r="AA19" s="869">
        <f t="shared" si="16"/>
        <v>0</v>
      </c>
      <c r="AB19" s="869">
        <f t="shared" si="17"/>
        <v>2295</v>
      </c>
      <c r="AC19" s="869">
        <f t="shared" si="18"/>
        <v>2295</v>
      </c>
      <c r="AD19" s="869">
        <f t="shared" si="19"/>
        <v>-6</v>
      </c>
      <c r="AE19" s="869">
        <f t="shared" si="20"/>
        <v>2289</v>
      </c>
      <c r="AF19" s="868">
        <v>0</v>
      </c>
      <c r="AG19" s="871">
        <f t="shared" si="21"/>
        <v>2289</v>
      </c>
      <c r="AH19" s="871">
        <f>0*8</f>
        <v>0</v>
      </c>
      <c r="AI19" s="871">
        <f t="shared" si="22"/>
        <v>2289</v>
      </c>
      <c r="AJ19" s="871">
        <f t="shared" si="23"/>
        <v>572</v>
      </c>
      <c r="AK19" s="872">
        <f t="shared" si="24"/>
        <v>7633.1392769100767</v>
      </c>
      <c r="AL19" s="872">
        <f t="shared" si="1"/>
        <v>1908</v>
      </c>
      <c r="AM19" s="1517"/>
      <c r="AN19" s="1517">
        <v>0</v>
      </c>
      <c r="AO19" s="1521">
        <f t="shared" si="2"/>
        <v>-6</v>
      </c>
    </row>
    <row r="20" spans="1:41" s="795" customFormat="1" ht="16.5" customHeight="1">
      <c r="A20" s="836">
        <v>16</v>
      </c>
      <c r="B20" s="837" t="s">
        <v>193</v>
      </c>
      <c r="C20" s="838">
        <v>1</v>
      </c>
      <c r="D20" s="839">
        <f>'Table 3 Levels 1&amp;2'!AL23*90%</f>
        <v>1361.8761225144324</v>
      </c>
      <c r="E20" s="839">
        <f t="shared" si="3"/>
        <v>1361.8761225144324</v>
      </c>
      <c r="F20" s="840">
        <f>'Table 4 Level 3'!P21*90%</f>
        <v>618.05700000000002</v>
      </c>
      <c r="G20" s="840">
        <f t="shared" si="4"/>
        <v>618.05700000000002</v>
      </c>
      <c r="H20" s="840">
        <f t="shared" si="5"/>
        <v>1979.9331225144324</v>
      </c>
      <c r="I20" s="840">
        <f>'Oct midyear adj_Connections'!K21</f>
        <v>0</v>
      </c>
      <c r="J20" s="840">
        <f>'Feb midyear adj_Connections'!K21</f>
        <v>989.9665612572162</v>
      </c>
      <c r="K20" s="840">
        <f t="shared" si="6"/>
        <v>989.9665612572162</v>
      </c>
      <c r="L20" s="840">
        <f t="shared" si="7"/>
        <v>2969.8996837716486</v>
      </c>
      <c r="M20" s="840">
        <f t="shared" si="8"/>
        <v>-7</v>
      </c>
      <c r="N20" s="841">
        <f t="shared" si="9"/>
        <v>2962.8996837716486</v>
      </c>
      <c r="O20" s="841">
        <v>0</v>
      </c>
      <c r="P20" s="842">
        <f t="shared" si="10"/>
        <v>2962.8996837716486</v>
      </c>
      <c r="Q20" s="843"/>
      <c r="R20" s="842">
        <f t="shared" si="11"/>
        <v>2962.8996837716486</v>
      </c>
      <c r="S20" s="842">
        <f>165*8</f>
        <v>1320</v>
      </c>
      <c r="T20" s="842">
        <f t="shared" si="12"/>
        <v>1642.8996837716486</v>
      </c>
      <c r="U20" s="842">
        <f t="shared" si="13"/>
        <v>411</v>
      </c>
      <c r="V20" s="845">
        <f>'[11]FY2011-12_Final'!$K23*90%</f>
        <v>17708.400000000001</v>
      </c>
      <c r="W20" s="845">
        <f t="shared" si="14"/>
        <v>17708.400000000001</v>
      </c>
      <c r="X20" s="846">
        <f>'Oct midyear adj_Connections'!E21</f>
        <v>0</v>
      </c>
      <c r="Y20" s="845">
        <f t="shared" si="15"/>
        <v>0</v>
      </c>
      <c r="Z20" s="846">
        <f>'Feb midyear adj_Connections'!E21</f>
        <v>1</v>
      </c>
      <c r="AA20" s="845">
        <f t="shared" si="16"/>
        <v>8854.2000000000007</v>
      </c>
      <c r="AB20" s="845">
        <f t="shared" si="17"/>
        <v>8854.2000000000007</v>
      </c>
      <c r="AC20" s="845">
        <f t="shared" si="18"/>
        <v>26562.600000000002</v>
      </c>
      <c r="AD20" s="845">
        <f t="shared" si="19"/>
        <v>-66</v>
      </c>
      <c r="AE20" s="845">
        <f t="shared" si="20"/>
        <v>26496.600000000002</v>
      </c>
      <c r="AF20" s="844">
        <v>0</v>
      </c>
      <c r="AG20" s="847">
        <f t="shared" si="21"/>
        <v>26496.600000000002</v>
      </c>
      <c r="AH20" s="847">
        <f>1410*8</f>
        <v>11280</v>
      </c>
      <c r="AI20" s="847">
        <f t="shared" si="22"/>
        <v>15216.600000000002</v>
      </c>
      <c r="AJ20" s="847">
        <f t="shared" si="23"/>
        <v>3804</v>
      </c>
      <c r="AK20" s="848">
        <f t="shared" si="24"/>
        <v>29459.49968377165</v>
      </c>
      <c r="AL20" s="848">
        <f t="shared" si="1"/>
        <v>4215</v>
      </c>
      <c r="AM20" s="1517"/>
      <c r="AN20" s="1517">
        <v>-42</v>
      </c>
      <c r="AO20" s="1521">
        <f t="shared" si="2"/>
        <v>-24</v>
      </c>
    </row>
    <row r="21" spans="1:41" s="795" customFormat="1" ht="16.5" customHeight="1">
      <c r="A21" s="836">
        <v>17</v>
      </c>
      <c r="B21" s="837" t="s">
        <v>75</v>
      </c>
      <c r="C21" s="849">
        <v>47</v>
      </c>
      <c r="D21" s="850">
        <f>'Table 3 Levels 1&amp;2'!AL24*90%</f>
        <v>2940.1220784729112</v>
      </c>
      <c r="E21" s="850">
        <f t="shared" si="3"/>
        <v>138185.73768822683</v>
      </c>
      <c r="F21" s="851">
        <f>'Table 5B2_RSD_LA'!F7*90%</f>
        <v>721.32986175126121</v>
      </c>
      <c r="G21" s="851">
        <f t="shared" si="4"/>
        <v>33902.503502309279</v>
      </c>
      <c r="H21" s="851">
        <f t="shared" si="5"/>
        <v>172088.24119053612</v>
      </c>
      <c r="I21" s="851">
        <f>'Oct midyear adj_Connections'!K22</f>
        <v>25630.163581569206</v>
      </c>
      <c r="J21" s="851">
        <f>'Feb midyear adj_Connections'!K22</f>
        <v>-18307.25970112086</v>
      </c>
      <c r="K21" s="851">
        <f t="shared" si="6"/>
        <v>7322.9038804483462</v>
      </c>
      <c r="L21" s="851">
        <f t="shared" si="7"/>
        <v>179411.14507098446</v>
      </c>
      <c r="M21" s="851">
        <f t="shared" si="8"/>
        <v>-449</v>
      </c>
      <c r="N21" s="852">
        <f t="shared" si="9"/>
        <v>178962.14507098446</v>
      </c>
      <c r="O21" s="852">
        <v>0</v>
      </c>
      <c r="P21" s="853">
        <f t="shared" si="10"/>
        <v>178962.14507098446</v>
      </c>
      <c r="Q21" s="854"/>
      <c r="R21" s="853">
        <f t="shared" si="11"/>
        <v>178962.14507098446</v>
      </c>
      <c r="S21" s="853">
        <f>14305*8</f>
        <v>114440</v>
      </c>
      <c r="T21" s="853">
        <f t="shared" si="12"/>
        <v>64522.145070984465</v>
      </c>
      <c r="U21" s="853">
        <f t="shared" si="13"/>
        <v>16131</v>
      </c>
      <c r="V21" s="856">
        <f>'[11]FY2011-12_Final'!$K24*90%</f>
        <v>5621.4000000000005</v>
      </c>
      <c r="W21" s="856">
        <f t="shared" si="14"/>
        <v>264205.80000000005</v>
      </c>
      <c r="X21" s="857">
        <f>'Oct midyear adj_Connections'!E22</f>
        <v>7</v>
      </c>
      <c r="Y21" s="856">
        <f t="shared" si="15"/>
        <v>39349.800000000003</v>
      </c>
      <c r="Z21" s="857">
        <f>'Feb midyear adj_Connections'!E22</f>
        <v>-10</v>
      </c>
      <c r="AA21" s="856">
        <f t="shared" si="16"/>
        <v>-28107.000000000004</v>
      </c>
      <c r="AB21" s="856">
        <f t="shared" si="17"/>
        <v>11242.8</v>
      </c>
      <c r="AC21" s="856">
        <f t="shared" si="18"/>
        <v>275448.60000000003</v>
      </c>
      <c r="AD21" s="856">
        <f t="shared" si="19"/>
        <v>-689</v>
      </c>
      <c r="AE21" s="856">
        <f t="shared" si="20"/>
        <v>274759.60000000003</v>
      </c>
      <c r="AF21" s="855">
        <v>0</v>
      </c>
      <c r="AG21" s="858">
        <f t="shared" si="21"/>
        <v>274759.60000000003</v>
      </c>
      <c r="AH21" s="858">
        <f>21955*8</f>
        <v>175640</v>
      </c>
      <c r="AI21" s="858">
        <f t="shared" si="22"/>
        <v>99119.600000000035</v>
      </c>
      <c r="AJ21" s="858">
        <f t="shared" si="23"/>
        <v>24780</v>
      </c>
      <c r="AK21" s="859">
        <f t="shared" si="24"/>
        <v>453721.74507098447</v>
      </c>
      <c r="AL21" s="859">
        <f t="shared" si="1"/>
        <v>40911</v>
      </c>
      <c r="AM21" s="1517"/>
      <c r="AN21" s="1517">
        <v>-660</v>
      </c>
      <c r="AO21" s="1521">
        <f t="shared" si="2"/>
        <v>-29</v>
      </c>
    </row>
    <row r="22" spans="1:41" s="795" customFormat="1" ht="16.5" customHeight="1">
      <c r="A22" s="836">
        <v>18</v>
      </c>
      <c r="B22" s="837" t="s">
        <v>194</v>
      </c>
      <c r="C22" s="849">
        <v>1</v>
      </c>
      <c r="D22" s="850">
        <f>'Table 3 Levels 1&amp;2'!AL25*90%</f>
        <v>5192.4109119662935</v>
      </c>
      <c r="E22" s="850">
        <f t="shared" si="3"/>
        <v>5192.4109119662935</v>
      </c>
      <c r="F22" s="851">
        <f>'Table 4 Level 3'!P23*90%</f>
        <v>761.3549999999999</v>
      </c>
      <c r="G22" s="851">
        <f t="shared" si="4"/>
        <v>761.3549999999999</v>
      </c>
      <c r="H22" s="851">
        <f t="shared" si="5"/>
        <v>5953.7659119662931</v>
      </c>
      <c r="I22" s="851">
        <f>'Oct midyear adj_Connections'!K23</f>
        <v>-5953.7659119662931</v>
      </c>
      <c r="J22" s="851">
        <f>'Feb midyear adj_Connections'!K23</f>
        <v>0</v>
      </c>
      <c r="K22" s="851">
        <f t="shared" si="6"/>
        <v>-5953.7659119662931</v>
      </c>
      <c r="L22" s="851">
        <f t="shared" si="7"/>
        <v>0</v>
      </c>
      <c r="M22" s="851">
        <f t="shared" si="8"/>
        <v>0</v>
      </c>
      <c r="N22" s="852">
        <f t="shared" si="9"/>
        <v>0</v>
      </c>
      <c r="O22" s="852">
        <v>0</v>
      </c>
      <c r="P22" s="853">
        <f t="shared" si="10"/>
        <v>0</v>
      </c>
      <c r="Q22" s="854"/>
      <c r="R22" s="853">
        <f t="shared" si="11"/>
        <v>0</v>
      </c>
      <c r="S22" s="853">
        <f>495*8</f>
        <v>3960</v>
      </c>
      <c r="T22" s="853">
        <f t="shared" si="12"/>
        <v>-3960</v>
      </c>
      <c r="U22" s="853">
        <f t="shared" si="13"/>
        <v>-990</v>
      </c>
      <c r="V22" s="856">
        <f>'[11]FY2011-12_Final'!$K25*90%</f>
        <v>1691.1000000000001</v>
      </c>
      <c r="W22" s="856">
        <f t="shared" si="14"/>
        <v>1691.1000000000001</v>
      </c>
      <c r="X22" s="857">
        <f>'Oct midyear adj_Connections'!E23</f>
        <v>-1</v>
      </c>
      <c r="Y22" s="856">
        <f t="shared" si="15"/>
        <v>-1691.1000000000001</v>
      </c>
      <c r="Z22" s="857">
        <f>'Feb midyear adj_Connections'!E23</f>
        <v>0</v>
      </c>
      <c r="AA22" s="856">
        <f t="shared" si="16"/>
        <v>0</v>
      </c>
      <c r="AB22" s="856">
        <f t="shared" si="17"/>
        <v>-1691.1000000000001</v>
      </c>
      <c r="AC22" s="856">
        <f t="shared" si="18"/>
        <v>0</v>
      </c>
      <c r="AD22" s="856">
        <f t="shared" si="19"/>
        <v>0</v>
      </c>
      <c r="AE22" s="856">
        <f t="shared" si="20"/>
        <v>0</v>
      </c>
      <c r="AF22" s="855">
        <v>0</v>
      </c>
      <c r="AG22" s="858">
        <f t="shared" si="21"/>
        <v>0</v>
      </c>
      <c r="AH22" s="858">
        <f>131*8</f>
        <v>1048</v>
      </c>
      <c r="AI22" s="858">
        <f t="shared" si="22"/>
        <v>-1048</v>
      </c>
      <c r="AJ22" s="858">
        <f t="shared" si="23"/>
        <v>-262</v>
      </c>
      <c r="AK22" s="859">
        <f t="shared" si="24"/>
        <v>0</v>
      </c>
      <c r="AL22" s="859">
        <f t="shared" si="1"/>
        <v>-1252</v>
      </c>
      <c r="AM22" s="1517"/>
      <c r="AN22" s="1517">
        <v>-4</v>
      </c>
      <c r="AO22" s="1521">
        <f t="shared" si="2"/>
        <v>4</v>
      </c>
    </row>
    <row r="23" spans="1:41" s="795" customFormat="1" ht="16.5" customHeight="1">
      <c r="A23" s="836">
        <v>19</v>
      </c>
      <c r="B23" s="837" t="s">
        <v>195</v>
      </c>
      <c r="C23" s="849">
        <v>0</v>
      </c>
      <c r="D23" s="850">
        <f>'Table 3 Levels 1&amp;2'!AL26*90%</f>
        <v>4683.746652806537</v>
      </c>
      <c r="E23" s="850">
        <f t="shared" si="3"/>
        <v>0</v>
      </c>
      <c r="F23" s="851">
        <f>'Table 4 Level 3'!P24*90%</f>
        <v>814.88699999999994</v>
      </c>
      <c r="G23" s="851">
        <f t="shared" si="4"/>
        <v>0</v>
      </c>
      <c r="H23" s="851">
        <f t="shared" si="5"/>
        <v>0</v>
      </c>
      <c r="I23" s="851">
        <f>'Oct midyear adj_Connections'!K24</f>
        <v>21994.534611226147</v>
      </c>
      <c r="J23" s="851">
        <f>'Feb midyear adj_Connections'!K24</f>
        <v>-8247.9504792098051</v>
      </c>
      <c r="K23" s="851">
        <f t="shared" si="6"/>
        <v>13746.584132016342</v>
      </c>
      <c r="L23" s="851">
        <f t="shared" si="7"/>
        <v>13746.584132016342</v>
      </c>
      <c r="M23" s="851">
        <f t="shared" si="8"/>
        <v>-34</v>
      </c>
      <c r="N23" s="852">
        <f t="shared" si="9"/>
        <v>13712.584132016342</v>
      </c>
      <c r="O23" s="852">
        <v>0</v>
      </c>
      <c r="P23" s="853">
        <f t="shared" si="10"/>
        <v>13712.584132016342</v>
      </c>
      <c r="Q23" s="854"/>
      <c r="R23" s="853">
        <f t="shared" si="11"/>
        <v>13712.584132016342</v>
      </c>
      <c r="S23" s="853">
        <f>0*8</f>
        <v>0</v>
      </c>
      <c r="T23" s="853">
        <f t="shared" si="12"/>
        <v>13712.584132016342</v>
      </c>
      <c r="U23" s="853">
        <f t="shared" si="13"/>
        <v>3428</v>
      </c>
      <c r="V23" s="856">
        <f>'[11]FY2011-12_Final'!$K26*90%</f>
        <v>2022.3</v>
      </c>
      <c r="W23" s="856">
        <f t="shared" si="14"/>
        <v>0</v>
      </c>
      <c r="X23" s="857">
        <f>'Oct midyear adj_Connections'!E24</f>
        <v>4</v>
      </c>
      <c r="Y23" s="856">
        <f t="shared" si="15"/>
        <v>8089.2</v>
      </c>
      <c r="Z23" s="857">
        <f>'Feb midyear adj_Connections'!E24</f>
        <v>-3</v>
      </c>
      <c r="AA23" s="856">
        <f t="shared" si="16"/>
        <v>-3033.45</v>
      </c>
      <c r="AB23" s="856">
        <f t="shared" si="17"/>
        <v>5055.75</v>
      </c>
      <c r="AC23" s="856">
        <f t="shared" si="18"/>
        <v>5055.75</v>
      </c>
      <c r="AD23" s="856">
        <f t="shared" si="19"/>
        <v>-13</v>
      </c>
      <c r="AE23" s="856">
        <f t="shared" si="20"/>
        <v>5042.75</v>
      </c>
      <c r="AF23" s="855">
        <v>0</v>
      </c>
      <c r="AG23" s="858">
        <f t="shared" si="21"/>
        <v>5042.75</v>
      </c>
      <c r="AH23" s="858">
        <f>0*8</f>
        <v>0</v>
      </c>
      <c r="AI23" s="858">
        <f t="shared" si="22"/>
        <v>5042.75</v>
      </c>
      <c r="AJ23" s="858">
        <f t="shared" si="23"/>
        <v>1261</v>
      </c>
      <c r="AK23" s="859">
        <f t="shared" si="24"/>
        <v>18755.334132016342</v>
      </c>
      <c r="AL23" s="859">
        <f t="shared" si="1"/>
        <v>4689</v>
      </c>
      <c r="AM23" s="1517"/>
      <c r="AN23" s="1517">
        <v>0</v>
      </c>
      <c r="AO23" s="1521">
        <f t="shared" si="2"/>
        <v>-13</v>
      </c>
    </row>
    <row r="24" spans="1:41" s="795" customFormat="1" ht="16.5" customHeight="1">
      <c r="A24" s="860">
        <v>20</v>
      </c>
      <c r="B24" s="861" t="s">
        <v>196</v>
      </c>
      <c r="C24" s="862">
        <v>1</v>
      </c>
      <c r="D24" s="863">
        <f>'Table 3 Levels 1&amp;2'!AL27*90%</f>
        <v>4894.3760417440953</v>
      </c>
      <c r="E24" s="863">
        <f t="shared" si="3"/>
        <v>4894.3760417440953</v>
      </c>
      <c r="F24" s="864">
        <f>'Table 4 Level 3'!P25*90%</f>
        <v>527.553</v>
      </c>
      <c r="G24" s="864">
        <f t="shared" si="4"/>
        <v>527.553</v>
      </c>
      <c r="H24" s="864">
        <f t="shared" si="5"/>
        <v>5421.9290417440952</v>
      </c>
      <c r="I24" s="864">
        <f>'Oct midyear adj_Connections'!K25</f>
        <v>0</v>
      </c>
      <c r="J24" s="864">
        <f>'Feb midyear adj_Connections'!K25</f>
        <v>0</v>
      </c>
      <c r="K24" s="864">
        <f t="shared" si="6"/>
        <v>0</v>
      </c>
      <c r="L24" s="864">
        <f t="shared" si="7"/>
        <v>5421.9290417440952</v>
      </c>
      <c r="M24" s="864">
        <f t="shared" si="8"/>
        <v>-14</v>
      </c>
      <c r="N24" s="865">
        <f t="shared" si="9"/>
        <v>5407.9290417440952</v>
      </c>
      <c r="O24" s="865">
        <v>0</v>
      </c>
      <c r="P24" s="866">
        <f t="shared" si="10"/>
        <v>5407.9290417440952</v>
      </c>
      <c r="Q24" s="867"/>
      <c r="R24" s="866">
        <f t="shared" si="11"/>
        <v>5407.9290417440952</v>
      </c>
      <c r="S24" s="866">
        <f>451*8</f>
        <v>3608</v>
      </c>
      <c r="T24" s="866">
        <f t="shared" si="12"/>
        <v>1799.9290417440952</v>
      </c>
      <c r="U24" s="866">
        <f t="shared" si="13"/>
        <v>450</v>
      </c>
      <c r="V24" s="869">
        <f>'[11]FY2011-12_Final'!$K27*90%</f>
        <v>1942.2</v>
      </c>
      <c r="W24" s="869">
        <f t="shared" si="14"/>
        <v>1942.2</v>
      </c>
      <c r="X24" s="870">
        <f>'Oct midyear adj_Connections'!E25</f>
        <v>0</v>
      </c>
      <c r="Y24" s="869">
        <f t="shared" si="15"/>
        <v>0</v>
      </c>
      <c r="Z24" s="870">
        <f>'Feb midyear adj_Connections'!E25</f>
        <v>0</v>
      </c>
      <c r="AA24" s="869">
        <f t="shared" si="16"/>
        <v>0</v>
      </c>
      <c r="AB24" s="869">
        <f t="shared" si="17"/>
        <v>0</v>
      </c>
      <c r="AC24" s="869">
        <f t="shared" si="18"/>
        <v>1942.2</v>
      </c>
      <c r="AD24" s="869">
        <f t="shared" si="19"/>
        <v>-5</v>
      </c>
      <c r="AE24" s="869">
        <f t="shared" si="20"/>
        <v>1937.2</v>
      </c>
      <c r="AF24" s="868">
        <v>0</v>
      </c>
      <c r="AG24" s="871">
        <f t="shared" si="21"/>
        <v>1937.2</v>
      </c>
      <c r="AH24" s="871">
        <f>159*8</f>
        <v>1272</v>
      </c>
      <c r="AI24" s="871">
        <f t="shared" si="22"/>
        <v>665.2</v>
      </c>
      <c r="AJ24" s="871">
        <f t="shared" si="23"/>
        <v>166</v>
      </c>
      <c r="AK24" s="872">
        <f t="shared" si="24"/>
        <v>7345.129041744095</v>
      </c>
      <c r="AL24" s="872">
        <f t="shared" si="1"/>
        <v>616</v>
      </c>
      <c r="AM24" s="1517"/>
      <c r="AN24" s="1517">
        <v>-5</v>
      </c>
      <c r="AO24" s="1521">
        <f t="shared" si="2"/>
        <v>0</v>
      </c>
    </row>
    <row r="25" spans="1:41" s="795" customFormat="1" ht="16.5" customHeight="1">
      <c r="A25" s="836">
        <v>21</v>
      </c>
      <c r="B25" s="837" t="s">
        <v>197</v>
      </c>
      <c r="C25" s="838">
        <v>5</v>
      </c>
      <c r="D25" s="839">
        <f>'Table 3 Levels 1&amp;2'!AL28*90%</f>
        <v>5057.195413422467</v>
      </c>
      <c r="E25" s="839">
        <f t="shared" si="3"/>
        <v>25285.977067112333</v>
      </c>
      <c r="F25" s="840">
        <f>'Table 4 Level 3'!P26*90%</f>
        <v>549.31500000000005</v>
      </c>
      <c r="G25" s="840">
        <f t="shared" si="4"/>
        <v>2746.5750000000003</v>
      </c>
      <c r="H25" s="840">
        <f t="shared" si="5"/>
        <v>28032.552067112334</v>
      </c>
      <c r="I25" s="840">
        <f>'Oct midyear adj_Connections'!K26</f>
        <v>11213.020826844935</v>
      </c>
      <c r="J25" s="840">
        <f>'Feb midyear adj_Connections'!K26</f>
        <v>5606.5104134224675</v>
      </c>
      <c r="K25" s="840">
        <f t="shared" si="6"/>
        <v>16819.531240267403</v>
      </c>
      <c r="L25" s="840">
        <f t="shared" si="7"/>
        <v>44852.08330737974</v>
      </c>
      <c r="M25" s="840">
        <f t="shared" si="8"/>
        <v>-112</v>
      </c>
      <c r="N25" s="841">
        <f t="shared" si="9"/>
        <v>44740.08330737974</v>
      </c>
      <c r="O25" s="841">
        <v>0</v>
      </c>
      <c r="P25" s="842">
        <f t="shared" si="10"/>
        <v>44740.08330737974</v>
      </c>
      <c r="Q25" s="843"/>
      <c r="R25" s="842">
        <f t="shared" si="11"/>
        <v>44740.08330737974</v>
      </c>
      <c r="S25" s="842">
        <f>2330*8</f>
        <v>18640</v>
      </c>
      <c r="T25" s="842">
        <f t="shared" si="12"/>
        <v>26100.08330737974</v>
      </c>
      <c r="U25" s="842">
        <f t="shared" si="13"/>
        <v>6525</v>
      </c>
      <c r="V25" s="845">
        <f>'[11]FY2011-12_Final'!$K28*90%</f>
        <v>1859.4</v>
      </c>
      <c r="W25" s="845">
        <f t="shared" si="14"/>
        <v>9297</v>
      </c>
      <c r="X25" s="846">
        <f>'Oct midyear adj_Connections'!E26</f>
        <v>2</v>
      </c>
      <c r="Y25" s="845">
        <f t="shared" si="15"/>
        <v>3718.8</v>
      </c>
      <c r="Z25" s="846">
        <f>'Feb midyear adj_Connections'!E26</f>
        <v>2</v>
      </c>
      <c r="AA25" s="845">
        <f t="shared" si="16"/>
        <v>1859.4</v>
      </c>
      <c r="AB25" s="845">
        <f t="shared" si="17"/>
        <v>5578.2000000000007</v>
      </c>
      <c r="AC25" s="845">
        <f t="shared" si="18"/>
        <v>14875.199999999999</v>
      </c>
      <c r="AD25" s="845">
        <f t="shared" si="19"/>
        <v>-37</v>
      </c>
      <c r="AE25" s="845">
        <f t="shared" si="20"/>
        <v>14838.199999999999</v>
      </c>
      <c r="AF25" s="844">
        <v>0</v>
      </c>
      <c r="AG25" s="847">
        <f t="shared" si="21"/>
        <v>14838.199999999999</v>
      </c>
      <c r="AH25" s="847">
        <f>674*8</f>
        <v>5392</v>
      </c>
      <c r="AI25" s="847">
        <f t="shared" si="22"/>
        <v>9446.1999999999989</v>
      </c>
      <c r="AJ25" s="847">
        <f t="shared" si="23"/>
        <v>2362</v>
      </c>
      <c r="AK25" s="848">
        <f t="shared" si="24"/>
        <v>59578.283307379737</v>
      </c>
      <c r="AL25" s="848">
        <f t="shared" si="1"/>
        <v>8887</v>
      </c>
      <c r="AM25" s="1517"/>
      <c r="AN25" s="1517">
        <v>-20</v>
      </c>
      <c r="AO25" s="1521">
        <f t="shared" si="2"/>
        <v>-17</v>
      </c>
    </row>
    <row r="26" spans="1:41" s="795" customFormat="1" ht="16.5" customHeight="1">
      <c r="A26" s="836">
        <v>22</v>
      </c>
      <c r="B26" s="837" t="s">
        <v>198</v>
      </c>
      <c r="C26" s="849">
        <v>5</v>
      </c>
      <c r="D26" s="850">
        <f>'Table 3 Levels 1&amp;2'!AL29*90%</f>
        <v>5567.6280255898364</v>
      </c>
      <c r="E26" s="850">
        <f t="shared" si="3"/>
        <v>27838.140127949184</v>
      </c>
      <c r="F26" s="851">
        <f>'Table 4 Level 3'!P27*90%</f>
        <v>446.72400000000005</v>
      </c>
      <c r="G26" s="851">
        <f t="shared" si="4"/>
        <v>2233.6200000000003</v>
      </c>
      <c r="H26" s="851">
        <f t="shared" si="5"/>
        <v>30071.760127949183</v>
      </c>
      <c r="I26" s="851">
        <f>'Oct midyear adj_Connections'!K27</f>
        <v>30071.760127949183</v>
      </c>
      <c r="J26" s="851">
        <f>'Feb midyear adj_Connections'!K27</f>
        <v>-6014.3520255898366</v>
      </c>
      <c r="K26" s="851">
        <f t="shared" si="6"/>
        <v>24057.408102359346</v>
      </c>
      <c r="L26" s="851">
        <f t="shared" si="7"/>
        <v>54129.168230308525</v>
      </c>
      <c r="M26" s="851">
        <f t="shared" si="8"/>
        <v>-135</v>
      </c>
      <c r="N26" s="852">
        <f t="shared" si="9"/>
        <v>53994.168230308525</v>
      </c>
      <c r="O26" s="852">
        <v>0</v>
      </c>
      <c r="P26" s="853">
        <f t="shared" si="10"/>
        <v>53994.168230308525</v>
      </c>
      <c r="Q26" s="854"/>
      <c r="R26" s="853">
        <f t="shared" si="11"/>
        <v>53994.168230308525</v>
      </c>
      <c r="S26" s="853">
        <f>2500*8</f>
        <v>20000</v>
      </c>
      <c r="T26" s="853">
        <f t="shared" si="12"/>
        <v>33994.168230308525</v>
      </c>
      <c r="U26" s="853">
        <f t="shared" si="13"/>
        <v>8499</v>
      </c>
      <c r="V26" s="856">
        <f>'[11]FY2011-12_Final'!$K29*90%</f>
        <v>1286.1000000000001</v>
      </c>
      <c r="W26" s="856">
        <f t="shared" si="14"/>
        <v>6430.5000000000009</v>
      </c>
      <c r="X26" s="857">
        <f>'Oct midyear adj_Connections'!E27</f>
        <v>5</v>
      </c>
      <c r="Y26" s="856">
        <f t="shared" si="15"/>
        <v>6430.5000000000009</v>
      </c>
      <c r="Z26" s="857">
        <f>'Feb midyear adj_Connections'!E27</f>
        <v>-2</v>
      </c>
      <c r="AA26" s="856">
        <f t="shared" si="16"/>
        <v>-1286.1000000000001</v>
      </c>
      <c r="AB26" s="856">
        <f t="shared" si="17"/>
        <v>5144.4000000000005</v>
      </c>
      <c r="AC26" s="856">
        <f t="shared" si="18"/>
        <v>11574.900000000001</v>
      </c>
      <c r="AD26" s="856">
        <f t="shared" si="19"/>
        <v>-29</v>
      </c>
      <c r="AE26" s="856">
        <f t="shared" si="20"/>
        <v>11545.900000000001</v>
      </c>
      <c r="AF26" s="855">
        <v>0</v>
      </c>
      <c r="AG26" s="858">
        <f t="shared" si="21"/>
        <v>11545.900000000001</v>
      </c>
      <c r="AH26" s="858">
        <f>507*8</f>
        <v>4056</v>
      </c>
      <c r="AI26" s="858">
        <f t="shared" si="22"/>
        <v>7489.9000000000015</v>
      </c>
      <c r="AJ26" s="858">
        <f t="shared" si="23"/>
        <v>1872</v>
      </c>
      <c r="AK26" s="859">
        <f t="shared" si="24"/>
        <v>65540.068230308534</v>
      </c>
      <c r="AL26" s="859">
        <f t="shared" si="1"/>
        <v>10371</v>
      </c>
      <c r="AM26" s="1517"/>
      <c r="AN26" s="1517">
        <v>-15</v>
      </c>
      <c r="AO26" s="1521">
        <f t="shared" si="2"/>
        <v>-14</v>
      </c>
    </row>
    <row r="27" spans="1:41" s="795" customFormat="1" ht="16.5" customHeight="1">
      <c r="A27" s="836">
        <v>23</v>
      </c>
      <c r="B27" s="837" t="s">
        <v>199</v>
      </c>
      <c r="C27" s="849">
        <v>5</v>
      </c>
      <c r="D27" s="850">
        <f>'Table 3 Levels 1&amp;2'!AL30*90%</f>
        <v>4346.3787333311848</v>
      </c>
      <c r="E27" s="850">
        <f t="shared" si="3"/>
        <v>21731.893666655924</v>
      </c>
      <c r="F27" s="851">
        <f>'Table 4 Level 3'!P28*90%</f>
        <v>619.72200000000009</v>
      </c>
      <c r="G27" s="851">
        <f t="shared" si="4"/>
        <v>3098.6100000000006</v>
      </c>
      <c r="H27" s="851">
        <f t="shared" si="5"/>
        <v>24830.503666655924</v>
      </c>
      <c r="I27" s="851">
        <f>'Oct midyear adj_Connections'!K28</f>
        <v>0</v>
      </c>
      <c r="J27" s="851">
        <f>'Feb midyear adj_Connections'!K28</f>
        <v>12415.251833327962</v>
      </c>
      <c r="K27" s="851">
        <f t="shared" si="6"/>
        <v>12415.251833327962</v>
      </c>
      <c r="L27" s="851">
        <f t="shared" si="7"/>
        <v>37245.75549998389</v>
      </c>
      <c r="M27" s="851">
        <f t="shared" si="8"/>
        <v>-93</v>
      </c>
      <c r="N27" s="852">
        <f t="shared" si="9"/>
        <v>37152.75549998389</v>
      </c>
      <c r="O27" s="852">
        <v>0</v>
      </c>
      <c r="P27" s="853">
        <f t="shared" si="10"/>
        <v>37152.75549998389</v>
      </c>
      <c r="Q27" s="854"/>
      <c r="R27" s="853">
        <f t="shared" si="11"/>
        <v>37152.75549998389</v>
      </c>
      <c r="S27" s="853">
        <f>2064*8</f>
        <v>16512</v>
      </c>
      <c r="T27" s="853">
        <f t="shared" si="12"/>
        <v>20640.75549998389</v>
      </c>
      <c r="U27" s="853">
        <f t="shared" si="13"/>
        <v>5160</v>
      </c>
      <c r="V27" s="856">
        <f>'[11]FY2011-12_Final'!$K30*90%</f>
        <v>2762.1</v>
      </c>
      <c r="W27" s="856">
        <f t="shared" si="14"/>
        <v>13810.5</v>
      </c>
      <c r="X27" s="857">
        <f>'Oct midyear adj_Connections'!E28</f>
        <v>0</v>
      </c>
      <c r="Y27" s="856">
        <f t="shared" si="15"/>
        <v>0</v>
      </c>
      <c r="Z27" s="857">
        <f>'Feb midyear adj_Connections'!E28</f>
        <v>5</v>
      </c>
      <c r="AA27" s="856">
        <f t="shared" si="16"/>
        <v>6905.25</v>
      </c>
      <c r="AB27" s="856">
        <f t="shared" si="17"/>
        <v>6905.25</v>
      </c>
      <c r="AC27" s="856">
        <f t="shared" si="18"/>
        <v>20715.75</v>
      </c>
      <c r="AD27" s="856">
        <f t="shared" si="19"/>
        <v>-52</v>
      </c>
      <c r="AE27" s="856">
        <f t="shared" si="20"/>
        <v>20663.75</v>
      </c>
      <c r="AF27" s="855">
        <v>0</v>
      </c>
      <c r="AG27" s="858">
        <f t="shared" si="21"/>
        <v>20663.75</v>
      </c>
      <c r="AH27" s="858">
        <f>1157*8</f>
        <v>9256</v>
      </c>
      <c r="AI27" s="858">
        <f t="shared" si="22"/>
        <v>11407.75</v>
      </c>
      <c r="AJ27" s="858">
        <f t="shared" si="23"/>
        <v>2852</v>
      </c>
      <c r="AK27" s="859">
        <f t="shared" si="24"/>
        <v>57816.50549998389</v>
      </c>
      <c r="AL27" s="859">
        <f t="shared" si="1"/>
        <v>8012</v>
      </c>
      <c r="AM27" s="1517"/>
      <c r="AN27" s="1517">
        <v>-35</v>
      </c>
      <c r="AO27" s="1521">
        <f t="shared" si="2"/>
        <v>-17</v>
      </c>
    </row>
    <row r="28" spans="1:41" s="795" customFormat="1" ht="16.5" customHeight="1">
      <c r="A28" s="836">
        <v>24</v>
      </c>
      <c r="B28" s="837" t="s">
        <v>200</v>
      </c>
      <c r="C28" s="849">
        <v>0</v>
      </c>
      <c r="D28" s="850">
        <f>'Table 3 Levels 1&amp;2'!AL31*90%</f>
        <v>2245.1024261844818</v>
      </c>
      <c r="E28" s="850">
        <f t="shared" si="3"/>
        <v>0</v>
      </c>
      <c r="F28" s="851">
        <f>'Table 4 Level 3'!P29*90%</f>
        <v>768.82499999999993</v>
      </c>
      <c r="G28" s="851">
        <f t="shared" si="4"/>
        <v>0</v>
      </c>
      <c r="H28" s="851">
        <f t="shared" si="5"/>
        <v>0</v>
      </c>
      <c r="I28" s="851">
        <f>'Oct midyear adj_Connections'!K29</f>
        <v>3013.9274261844816</v>
      </c>
      <c r="J28" s="851">
        <f>'Feb midyear adj_Connections'!K29</f>
        <v>1506.9637130922408</v>
      </c>
      <c r="K28" s="851">
        <f t="shared" si="6"/>
        <v>4520.8911392767222</v>
      </c>
      <c r="L28" s="851">
        <f t="shared" si="7"/>
        <v>4520.8911392767222</v>
      </c>
      <c r="M28" s="851">
        <f t="shared" si="8"/>
        <v>-11</v>
      </c>
      <c r="N28" s="852">
        <f t="shared" si="9"/>
        <v>4509.8911392767222</v>
      </c>
      <c r="O28" s="852">
        <v>0</v>
      </c>
      <c r="P28" s="853">
        <f t="shared" si="10"/>
        <v>4509.8911392767222</v>
      </c>
      <c r="Q28" s="854"/>
      <c r="R28" s="853">
        <f t="shared" si="11"/>
        <v>4509.8911392767222</v>
      </c>
      <c r="S28" s="853">
        <f>0*8</f>
        <v>0</v>
      </c>
      <c r="T28" s="853">
        <f t="shared" si="12"/>
        <v>4509.8911392767222</v>
      </c>
      <c r="U28" s="853">
        <f t="shared" si="13"/>
        <v>1127</v>
      </c>
      <c r="V28" s="856">
        <f>'[11]FY2011-12_Final'!$K31*90%</f>
        <v>8393.4</v>
      </c>
      <c r="W28" s="856">
        <f t="shared" si="14"/>
        <v>0</v>
      </c>
      <c r="X28" s="857">
        <f>'Oct midyear adj_Connections'!E29</f>
        <v>1</v>
      </c>
      <c r="Y28" s="856">
        <f t="shared" si="15"/>
        <v>8393.4</v>
      </c>
      <c r="Z28" s="857">
        <f>'Feb midyear adj_Connections'!E29</f>
        <v>1</v>
      </c>
      <c r="AA28" s="856">
        <f t="shared" si="16"/>
        <v>4196.7</v>
      </c>
      <c r="AB28" s="856">
        <f t="shared" si="17"/>
        <v>12590.099999999999</v>
      </c>
      <c r="AC28" s="856">
        <f t="shared" si="18"/>
        <v>12590.099999999999</v>
      </c>
      <c r="AD28" s="856">
        <f t="shared" si="19"/>
        <v>-31</v>
      </c>
      <c r="AE28" s="856">
        <f t="shared" si="20"/>
        <v>12559.099999999999</v>
      </c>
      <c r="AF28" s="855">
        <v>0</v>
      </c>
      <c r="AG28" s="858">
        <f t="shared" si="21"/>
        <v>12559.099999999999</v>
      </c>
      <c r="AH28" s="858">
        <f>0*8</f>
        <v>0</v>
      </c>
      <c r="AI28" s="858">
        <f t="shared" si="22"/>
        <v>12559.099999999999</v>
      </c>
      <c r="AJ28" s="858">
        <f t="shared" si="23"/>
        <v>3140</v>
      </c>
      <c r="AK28" s="859">
        <f t="shared" si="24"/>
        <v>17068.991139276721</v>
      </c>
      <c r="AL28" s="859">
        <f t="shared" si="1"/>
        <v>4267</v>
      </c>
      <c r="AM28" s="1517"/>
      <c r="AN28" s="1517">
        <v>0</v>
      </c>
      <c r="AO28" s="1521">
        <f t="shared" si="2"/>
        <v>-31</v>
      </c>
    </row>
    <row r="29" spans="1:41" s="795" customFormat="1" ht="16.5" customHeight="1">
      <c r="A29" s="860">
        <v>25</v>
      </c>
      <c r="B29" s="861" t="s">
        <v>201</v>
      </c>
      <c r="C29" s="862">
        <v>2</v>
      </c>
      <c r="D29" s="863">
        <f>'Table 3 Levels 1&amp;2'!AL32*90%</f>
        <v>3300.5809626555911</v>
      </c>
      <c r="E29" s="863">
        <f t="shared" si="3"/>
        <v>6601.1619253111821</v>
      </c>
      <c r="F29" s="864">
        <f>'Table 4 Level 3'!P30*90%</f>
        <v>588.35700000000008</v>
      </c>
      <c r="G29" s="864">
        <f t="shared" si="4"/>
        <v>1176.7140000000002</v>
      </c>
      <c r="H29" s="864">
        <f t="shared" si="5"/>
        <v>7777.8759253111821</v>
      </c>
      <c r="I29" s="864">
        <f>'Oct midyear adj_Connections'!K30</f>
        <v>-7777.8759253111821</v>
      </c>
      <c r="J29" s="864">
        <f>'Feb midyear adj_Connections'!K30</f>
        <v>0</v>
      </c>
      <c r="K29" s="864">
        <f t="shared" si="6"/>
        <v>-7777.8759253111821</v>
      </c>
      <c r="L29" s="864">
        <f t="shared" si="7"/>
        <v>0</v>
      </c>
      <c r="M29" s="864">
        <f t="shared" si="8"/>
        <v>0</v>
      </c>
      <c r="N29" s="865">
        <f t="shared" si="9"/>
        <v>0</v>
      </c>
      <c r="O29" s="865">
        <v>0</v>
      </c>
      <c r="P29" s="866">
        <f t="shared" si="10"/>
        <v>0</v>
      </c>
      <c r="Q29" s="867"/>
      <c r="R29" s="866">
        <f t="shared" si="11"/>
        <v>0</v>
      </c>
      <c r="S29" s="866">
        <f>647*8</f>
        <v>5176</v>
      </c>
      <c r="T29" s="866">
        <f t="shared" si="12"/>
        <v>-5176</v>
      </c>
      <c r="U29" s="866">
        <f t="shared" si="13"/>
        <v>-1294</v>
      </c>
      <c r="V29" s="869">
        <f>'[11]FY2011-12_Final'!$K32*90%</f>
        <v>4531.5</v>
      </c>
      <c r="W29" s="869">
        <f t="shared" si="14"/>
        <v>9063</v>
      </c>
      <c r="X29" s="870">
        <f>'Oct midyear adj_Connections'!E30</f>
        <v>-2</v>
      </c>
      <c r="Y29" s="869">
        <f t="shared" si="15"/>
        <v>-9063</v>
      </c>
      <c r="Z29" s="870">
        <f>'Feb midyear adj_Connections'!E30</f>
        <v>0</v>
      </c>
      <c r="AA29" s="869">
        <f t="shared" si="16"/>
        <v>0</v>
      </c>
      <c r="AB29" s="869">
        <f t="shared" si="17"/>
        <v>-9063</v>
      </c>
      <c r="AC29" s="869">
        <f t="shared" si="18"/>
        <v>0</v>
      </c>
      <c r="AD29" s="869">
        <f t="shared" si="19"/>
        <v>0</v>
      </c>
      <c r="AE29" s="869">
        <f t="shared" si="20"/>
        <v>0</v>
      </c>
      <c r="AF29" s="868">
        <v>0</v>
      </c>
      <c r="AG29" s="871">
        <f t="shared" si="21"/>
        <v>0</v>
      </c>
      <c r="AH29" s="871">
        <f>1108*8</f>
        <v>8864</v>
      </c>
      <c r="AI29" s="871">
        <f t="shared" si="22"/>
        <v>-8864</v>
      </c>
      <c r="AJ29" s="871">
        <f t="shared" si="23"/>
        <v>-2216</v>
      </c>
      <c r="AK29" s="872">
        <f t="shared" si="24"/>
        <v>0</v>
      </c>
      <c r="AL29" s="872">
        <f t="shared" si="1"/>
        <v>-3510</v>
      </c>
      <c r="AM29" s="1517"/>
      <c r="AN29" s="1517">
        <v>-33</v>
      </c>
      <c r="AO29" s="1521">
        <f t="shared" si="2"/>
        <v>33</v>
      </c>
    </row>
    <row r="30" spans="1:41" s="795" customFormat="1" ht="16.5" customHeight="1">
      <c r="A30" s="836">
        <v>26</v>
      </c>
      <c r="B30" s="837" t="s">
        <v>202</v>
      </c>
      <c r="C30" s="838">
        <v>36</v>
      </c>
      <c r="D30" s="839">
        <f>'Table 3 Levels 1&amp;2'!AL33*90%</f>
        <v>2835.3131108817151</v>
      </c>
      <c r="E30" s="839">
        <f t="shared" si="3"/>
        <v>102071.27199174174</v>
      </c>
      <c r="F30" s="840">
        <f>'Table 4 Level 3'!P31*90%</f>
        <v>753.14700000000005</v>
      </c>
      <c r="G30" s="840">
        <f t="shared" si="4"/>
        <v>27113.292000000001</v>
      </c>
      <c r="H30" s="840">
        <f t="shared" si="5"/>
        <v>129184.56399174174</v>
      </c>
      <c r="I30" s="840">
        <f>'Oct midyear adj_Connections'!K31</f>
        <v>17942.300554408575</v>
      </c>
      <c r="J30" s="840">
        <f>'Feb midyear adj_Connections'!K31</f>
        <v>-3588.4601108817151</v>
      </c>
      <c r="K30" s="840">
        <f t="shared" si="6"/>
        <v>14353.84044352686</v>
      </c>
      <c r="L30" s="840">
        <f t="shared" si="7"/>
        <v>143538.4044352686</v>
      </c>
      <c r="M30" s="840">
        <f t="shared" si="8"/>
        <v>-359</v>
      </c>
      <c r="N30" s="841">
        <f t="shared" si="9"/>
        <v>143179.4044352686</v>
      </c>
      <c r="O30" s="841">
        <v>0</v>
      </c>
      <c r="P30" s="842">
        <f t="shared" si="10"/>
        <v>143179.4044352686</v>
      </c>
      <c r="Q30" s="843"/>
      <c r="R30" s="842">
        <f t="shared" si="11"/>
        <v>143179.4044352686</v>
      </c>
      <c r="S30" s="842">
        <f>10738*8</f>
        <v>85904</v>
      </c>
      <c r="T30" s="842">
        <f t="shared" si="12"/>
        <v>57275.404435268603</v>
      </c>
      <c r="U30" s="842">
        <f t="shared" si="13"/>
        <v>14319</v>
      </c>
      <c r="V30" s="845">
        <f>'[11]FY2011-12_Final'!$K33*90%</f>
        <v>4732.2</v>
      </c>
      <c r="W30" s="845">
        <f t="shared" si="14"/>
        <v>170359.19999999998</v>
      </c>
      <c r="X30" s="846">
        <f>'Oct midyear adj_Connections'!E31</f>
        <v>5</v>
      </c>
      <c r="Y30" s="845">
        <f t="shared" si="15"/>
        <v>23661</v>
      </c>
      <c r="Z30" s="846">
        <f>'Feb midyear adj_Connections'!E31</f>
        <v>-2</v>
      </c>
      <c r="AA30" s="845">
        <f t="shared" si="16"/>
        <v>-4732.2</v>
      </c>
      <c r="AB30" s="845">
        <f t="shared" si="17"/>
        <v>18928.8</v>
      </c>
      <c r="AC30" s="845">
        <f t="shared" si="18"/>
        <v>189287.99999999997</v>
      </c>
      <c r="AD30" s="845">
        <f t="shared" si="19"/>
        <v>-473</v>
      </c>
      <c r="AE30" s="845">
        <f t="shared" si="20"/>
        <v>188814.99999999997</v>
      </c>
      <c r="AF30" s="844">
        <v>0</v>
      </c>
      <c r="AG30" s="847">
        <f t="shared" si="21"/>
        <v>188814.99999999997</v>
      </c>
      <c r="AH30" s="847">
        <f>14323*8</f>
        <v>114584</v>
      </c>
      <c r="AI30" s="847">
        <f t="shared" si="22"/>
        <v>74230.999999999971</v>
      </c>
      <c r="AJ30" s="847">
        <f t="shared" si="23"/>
        <v>18558</v>
      </c>
      <c r="AK30" s="848">
        <f t="shared" si="24"/>
        <v>331994.4044352686</v>
      </c>
      <c r="AL30" s="848">
        <f t="shared" si="1"/>
        <v>32877</v>
      </c>
      <c r="AM30" s="1517"/>
      <c r="AN30" s="1517">
        <v>-431</v>
      </c>
      <c r="AO30" s="1521">
        <f t="shared" si="2"/>
        <v>-42</v>
      </c>
    </row>
    <row r="31" spans="1:41" s="795" customFormat="1" ht="16.5" customHeight="1">
      <c r="A31" s="836">
        <v>27</v>
      </c>
      <c r="B31" s="837" t="s">
        <v>203</v>
      </c>
      <c r="C31" s="849">
        <v>6</v>
      </c>
      <c r="D31" s="850">
        <f>'Table 3 Levels 1&amp;2'!AL34*90%</f>
        <v>5143.5016903089836</v>
      </c>
      <c r="E31" s="850">
        <f t="shared" si="3"/>
        <v>30861.010141853902</v>
      </c>
      <c r="F31" s="851">
        <f>'Table 4 Level 3'!P32*90%</f>
        <v>623.75400000000002</v>
      </c>
      <c r="G31" s="851">
        <f t="shared" si="4"/>
        <v>3742.5240000000003</v>
      </c>
      <c r="H31" s="851">
        <f t="shared" si="5"/>
        <v>34603.534141853903</v>
      </c>
      <c r="I31" s="851">
        <f>'Oct midyear adj_Connections'!K32</f>
        <v>-34603.534141853903</v>
      </c>
      <c r="J31" s="851">
        <f>'Feb midyear adj_Connections'!K32</f>
        <v>8650.8835354634757</v>
      </c>
      <c r="K31" s="851">
        <f t="shared" si="6"/>
        <v>-25952.650606390427</v>
      </c>
      <c r="L31" s="851">
        <f t="shared" si="7"/>
        <v>8650.8835354634757</v>
      </c>
      <c r="M31" s="851">
        <f t="shared" si="8"/>
        <v>-22</v>
      </c>
      <c r="N31" s="852">
        <f t="shared" si="9"/>
        <v>8628.8835354634757</v>
      </c>
      <c r="O31" s="852">
        <v>0</v>
      </c>
      <c r="P31" s="853">
        <f t="shared" si="10"/>
        <v>8628.8835354634757</v>
      </c>
      <c r="Q31" s="854"/>
      <c r="R31" s="853">
        <f t="shared" si="11"/>
        <v>8628.8835354634757</v>
      </c>
      <c r="S31" s="853">
        <f>2876*8</f>
        <v>23008</v>
      </c>
      <c r="T31" s="853">
        <f t="shared" si="12"/>
        <v>-14379.116464536524</v>
      </c>
      <c r="U31" s="853">
        <f t="shared" si="13"/>
        <v>-3595</v>
      </c>
      <c r="V31" s="856">
        <f>'[11]FY2011-12_Final'!$K34*90%</f>
        <v>2657.7000000000003</v>
      </c>
      <c r="W31" s="856">
        <f t="shared" si="14"/>
        <v>15946.2</v>
      </c>
      <c r="X31" s="857">
        <f>'Oct midyear adj_Connections'!E32</f>
        <v>-6</v>
      </c>
      <c r="Y31" s="856">
        <f t="shared" si="15"/>
        <v>-15946.2</v>
      </c>
      <c r="Z31" s="857">
        <f>'Feb midyear adj_Connections'!E32</f>
        <v>3</v>
      </c>
      <c r="AA31" s="856">
        <f t="shared" si="16"/>
        <v>3986.55</v>
      </c>
      <c r="AB31" s="856">
        <f t="shared" si="17"/>
        <v>-11959.650000000001</v>
      </c>
      <c r="AC31" s="856">
        <f t="shared" si="18"/>
        <v>3986.55</v>
      </c>
      <c r="AD31" s="856">
        <f t="shared" si="19"/>
        <v>-10</v>
      </c>
      <c r="AE31" s="856">
        <f t="shared" si="20"/>
        <v>3976.55</v>
      </c>
      <c r="AF31" s="855">
        <v>0</v>
      </c>
      <c r="AG31" s="858">
        <f t="shared" si="21"/>
        <v>3976.55</v>
      </c>
      <c r="AH31" s="858">
        <f>1271*8</f>
        <v>10168</v>
      </c>
      <c r="AI31" s="858">
        <f t="shared" si="22"/>
        <v>-6191.45</v>
      </c>
      <c r="AJ31" s="858">
        <f t="shared" si="23"/>
        <v>-1548</v>
      </c>
      <c r="AK31" s="859">
        <f t="shared" si="24"/>
        <v>12605.433535463475</v>
      </c>
      <c r="AL31" s="859">
        <f t="shared" si="1"/>
        <v>-5143</v>
      </c>
      <c r="AM31" s="1517"/>
      <c r="AN31" s="1517">
        <v>-38</v>
      </c>
      <c r="AO31" s="1521">
        <f t="shared" si="2"/>
        <v>28</v>
      </c>
    </row>
    <row r="32" spans="1:41" s="795" customFormat="1" ht="16.5" customHeight="1">
      <c r="A32" s="836">
        <v>28</v>
      </c>
      <c r="B32" s="837" t="s">
        <v>204</v>
      </c>
      <c r="C32" s="849">
        <v>27</v>
      </c>
      <c r="D32" s="850">
        <f>'Table 3 Levels 1&amp;2'!AL35*90%</f>
        <v>3030.6109760091736</v>
      </c>
      <c r="E32" s="850">
        <f t="shared" si="3"/>
        <v>81826.49635224769</v>
      </c>
      <c r="F32" s="851">
        <f>'Table 4 Level 3'!P33*90%</f>
        <v>624.96</v>
      </c>
      <c r="G32" s="851">
        <f t="shared" si="4"/>
        <v>16873.920000000002</v>
      </c>
      <c r="H32" s="851">
        <f t="shared" si="5"/>
        <v>98700.416352247688</v>
      </c>
      <c r="I32" s="851">
        <f>'Oct midyear adj_Connections'!K33</f>
        <v>-18277.854880045867</v>
      </c>
      <c r="J32" s="851">
        <f>'Feb midyear adj_Connections'!K33</f>
        <v>3655.5709760091736</v>
      </c>
      <c r="K32" s="851">
        <f t="shared" si="6"/>
        <v>-14622.283904036693</v>
      </c>
      <c r="L32" s="851">
        <f t="shared" si="7"/>
        <v>84078.132448210992</v>
      </c>
      <c r="M32" s="851">
        <f t="shared" si="8"/>
        <v>-210</v>
      </c>
      <c r="N32" s="852">
        <f t="shared" si="9"/>
        <v>83868.132448210992</v>
      </c>
      <c r="O32" s="852">
        <v>0</v>
      </c>
      <c r="P32" s="853">
        <f t="shared" si="10"/>
        <v>83868.132448210992</v>
      </c>
      <c r="Q32" s="854"/>
      <c r="R32" s="853">
        <f t="shared" si="11"/>
        <v>83868.132448210992</v>
      </c>
      <c r="S32" s="853">
        <f>8204*8</f>
        <v>65632</v>
      </c>
      <c r="T32" s="853">
        <f t="shared" si="12"/>
        <v>18236.132448210992</v>
      </c>
      <c r="U32" s="853">
        <f t="shared" si="13"/>
        <v>4559</v>
      </c>
      <c r="V32" s="856">
        <f>'[11]FY2011-12_Final'!$K35*90%</f>
        <v>4530.6000000000004</v>
      </c>
      <c r="W32" s="856">
        <f t="shared" si="14"/>
        <v>122326.20000000001</v>
      </c>
      <c r="X32" s="857">
        <f>'Oct midyear adj_Connections'!E33</f>
        <v>-5</v>
      </c>
      <c r="Y32" s="856">
        <f t="shared" si="15"/>
        <v>-22653</v>
      </c>
      <c r="Z32" s="857">
        <f>'Feb midyear adj_Connections'!E33</f>
        <v>2</v>
      </c>
      <c r="AA32" s="856">
        <f t="shared" si="16"/>
        <v>4530.6000000000004</v>
      </c>
      <c r="AB32" s="856">
        <f t="shared" si="17"/>
        <v>-18122.400000000001</v>
      </c>
      <c r="AC32" s="856">
        <f t="shared" si="18"/>
        <v>104203.80000000002</v>
      </c>
      <c r="AD32" s="856">
        <f t="shared" si="19"/>
        <v>-261</v>
      </c>
      <c r="AE32" s="856">
        <f t="shared" si="20"/>
        <v>103942.80000000002</v>
      </c>
      <c r="AF32" s="855">
        <v>0</v>
      </c>
      <c r="AG32" s="858">
        <f t="shared" si="21"/>
        <v>103942.80000000002</v>
      </c>
      <c r="AH32" s="858">
        <f>9805*8</f>
        <v>78440</v>
      </c>
      <c r="AI32" s="858">
        <f t="shared" si="22"/>
        <v>25502.800000000017</v>
      </c>
      <c r="AJ32" s="858">
        <f t="shared" si="23"/>
        <v>6376</v>
      </c>
      <c r="AK32" s="859">
        <f t="shared" si="24"/>
        <v>187810.93244821101</v>
      </c>
      <c r="AL32" s="859">
        <f t="shared" si="1"/>
        <v>10935</v>
      </c>
      <c r="AM32" s="1517"/>
      <c r="AN32" s="1517">
        <v>-295</v>
      </c>
      <c r="AO32" s="1521">
        <f t="shared" si="2"/>
        <v>34</v>
      </c>
    </row>
    <row r="33" spans="1:41" s="795" customFormat="1" ht="16.5" customHeight="1">
      <c r="A33" s="836">
        <v>29</v>
      </c>
      <c r="B33" s="837" t="s">
        <v>205</v>
      </c>
      <c r="C33" s="849">
        <v>5</v>
      </c>
      <c r="D33" s="850">
        <f>'Table 3 Levels 1&amp;2'!AL36*90%</f>
        <v>3779.8345012024251</v>
      </c>
      <c r="E33" s="850">
        <f t="shared" si="3"/>
        <v>18899.172506012124</v>
      </c>
      <c r="F33" s="851">
        <f>'Table 4 Level 3'!P34*90%</f>
        <v>679.45499999999993</v>
      </c>
      <c r="G33" s="851">
        <f t="shared" si="4"/>
        <v>3397.2749999999996</v>
      </c>
      <c r="H33" s="851">
        <f t="shared" si="5"/>
        <v>22296.447506012126</v>
      </c>
      <c r="I33" s="851">
        <f>'Oct midyear adj_Connections'!K34</f>
        <v>8918.5790024048511</v>
      </c>
      <c r="J33" s="851">
        <f>'Feb midyear adj_Connections'!K34</f>
        <v>-4459.2895012024255</v>
      </c>
      <c r="K33" s="851">
        <f t="shared" si="6"/>
        <v>4459.2895012024255</v>
      </c>
      <c r="L33" s="851">
        <f t="shared" si="7"/>
        <v>26755.73700721455</v>
      </c>
      <c r="M33" s="851">
        <f t="shared" si="8"/>
        <v>-67</v>
      </c>
      <c r="N33" s="852">
        <f t="shared" si="9"/>
        <v>26688.73700721455</v>
      </c>
      <c r="O33" s="852">
        <v>0</v>
      </c>
      <c r="P33" s="853">
        <f t="shared" si="10"/>
        <v>26688.73700721455</v>
      </c>
      <c r="Q33" s="854"/>
      <c r="R33" s="853">
        <f t="shared" si="11"/>
        <v>26688.73700721455</v>
      </c>
      <c r="S33" s="853">
        <f>1853*8</f>
        <v>14824</v>
      </c>
      <c r="T33" s="853">
        <f t="shared" si="12"/>
        <v>11864.73700721455</v>
      </c>
      <c r="U33" s="853">
        <f t="shared" si="13"/>
        <v>2966</v>
      </c>
      <c r="V33" s="856">
        <f>'[11]FY2011-12_Final'!$K36*90%</f>
        <v>3969</v>
      </c>
      <c r="W33" s="856">
        <f t="shared" si="14"/>
        <v>19845</v>
      </c>
      <c r="X33" s="857">
        <f>'Oct midyear adj_Connections'!E34</f>
        <v>2</v>
      </c>
      <c r="Y33" s="856">
        <f t="shared" si="15"/>
        <v>7938</v>
      </c>
      <c r="Z33" s="857">
        <f>'Feb midyear adj_Connections'!E34</f>
        <v>-2</v>
      </c>
      <c r="AA33" s="856">
        <f t="shared" si="16"/>
        <v>-3969</v>
      </c>
      <c r="AB33" s="856">
        <f t="shared" si="17"/>
        <v>3969</v>
      </c>
      <c r="AC33" s="856">
        <f t="shared" si="18"/>
        <v>23814</v>
      </c>
      <c r="AD33" s="856">
        <f t="shared" si="19"/>
        <v>-60</v>
      </c>
      <c r="AE33" s="856">
        <f t="shared" si="20"/>
        <v>23754</v>
      </c>
      <c r="AF33" s="855">
        <v>0</v>
      </c>
      <c r="AG33" s="858">
        <f t="shared" si="21"/>
        <v>23754</v>
      </c>
      <c r="AH33" s="858">
        <f>1668*8</f>
        <v>13344</v>
      </c>
      <c r="AI33" s="858">
        <f t="shared" si="22"/>
        <v>10410</v>
      </c>
      <c r="AJ33" s="858">
        <f t="shared" si="23"/>
        <v>2603</v>
      </c>
      <c r="AK33" s="859">
        <f t="shared" si="24"/>
        <v>50442.73700721455</v>
      </c>
      <c r="AL33" s="859">
        <f t="shared" si="1"/>
        <v>5569</v>
      </c>
      <c r="AM33" s="1517"/>
      <c r="AN33" s="1517">
        <v>-50</v>
      </c>
      <c r="AO33" s="1521">
        <f t="shared" si="2"/>
        <v>-10</v>
      </c>
    </row>
    <row r="34" spans="1:41" s="795" customFormat="1" ht="16.5" customHeight="1">
      <c r="A34" s="860">
        <v>30</v>
      </c>
      <c r="B34" s="861" t="s">
        <v>206</v>
      </c>
      <c r="C34" s="862">
        <v>5</v>
      </c>
      <c r="D34" s="863">
        <f>'Table 3 Levels 1&amp;2'!AL37*90%</f>
        <v>5203.3716856082956</v>
      </c>
      <c r="E34" s="863">
        <f t="shared" si="3"/>
        <v>26016.85842804148</v>
      </c>
      <c r="F34" s="864">
        <f>'Table 4 Level 3'!P35*90%</f>
        <v>654.45299999999997</v>
      </c>
      <c r="G34" s="864">
        <f t="shared" si="4"/>
        <v>3272.2649999999999</v>
      </c>
      <c r="H34" s="864">
        <f t="shared" si="5"/>
        <v>29289.123428041479</v>
      </c>
      <c r="I34" s="864">
        <f>'Oct midyear adj_Connections'!K35</f>
        <v>-11715.64937121659</v>
      </c>
      <c r="J34" s="864">
        <f>'Feb midyear adj_Connections'!K35</f>
        <v>0</v>
      </c>
      <c r="K34" s="864">
        <f t="shared" si="6"/>
        <v>-11715.64937121659</v>
      </c>
      <c r="L34" s="864">
        <f t="shared" si="7"/>
        <v>17573.474056824889</v>
      </c>
      <c r="M34" s="864">
        <f t="shared" si="8"/>
        <v>-44</v>
      </c>
      <c r="N34" s="865">
        <f t="shared" si="9"/>
        <v>17529.474056824889</v>
      </c>
      <c r="O34" s="865">
        <v>0</v>
      </c>
      <c r="P34" s="866">
        <f t="shared" si="10"/>
        <v>17529.474056824889</v>
      </c>
      <c r="Q34" s="867"/>
      <c r="R34" s="866">
        <f t="shared" si="11"/>
        <v>17529.474056824889</v>
      </c>
      <c r="S34" s="866">
        <f>2435*8</f>
        <v>19480</v>
      </c>
      <c r="T34" s="866">
        <f t="shared" si="12"/>
        <v>-1950.525943175111</v>
      </c>
      <c r="U34" s="866">
        <f t="shared" si="13"/>
        <v>-488</v>
      </c>
      <c r="V34" s="869">
        <f>'[11]FY2011-12_Final'!$K37*90%</f>
        <v>3183.3</v>
      </c>
      <c r="W34" s="869">
        <f t="shared" si="14"/>
        <v>15916.5</v>
      </c>
      <c r="X34" s="870">
        <f>'Oct midyear adj_Connections'!E35</f>
        <v>-2</v>
      </c>
      <c r="Y34" s="869">
        <f t="shared" si="15"/>
        <v>-6366.6</v>
      </c>
      <c r="Z34" s="870">
        <f>'Feb midyear adj_Connections'!E35</f>
        <v>0</v>
      </c>
      <c r="AA34" s="869">
        <f t="shared" si="16"/>
        <v>0</v>
      </c>
      <c r="AB34" s="869">
        <f t="shared" si="17"/>
        <v>-6366.6</v>
      </c>
      <c r="AC34" s="869">
        <f t="shared" si="18"/>
        <v>9549.9</v>
      </c>
      <c r="AD34" s="869">
        <f t="shared" si="19"/>
        <v>-24</v>
      </c>
      <c r="AE34" s="869">
        <f t="shared" si="20"/>
        <v>9525.9</v>
      </c>
      <c r="AF34" s="868">
        <v>0</v>
      </c>
      <c r="AG34" s="871">
        <f t="shared" si="21"/>
        <v>9525.9</v>
      </c>
      <c r="AH34" s="871">
        <f>1230*8</f>
        <v>9840</v>
      </c>
      <c r="AI34" s="871">
        <f t="shared" si="22"/>
        <v>-314.10000000000036</v>
      </c>
      <c r="AJ34" s="871">
        <f t="shared" si="23"/>
        <v>-79</v>
      </c>
      <c r="AK34" s="872">
        <f t="shared" si="24"/>
        <v>27055.37405682489</v>
      </c>
      <c r="AL34" s="872">
        <f t="shared" si="1"/>
        <v>-567</v>
      </c>
      <c r="AM34" s="1517"/>
      <c r="AN34" s="1517">
        <v>-37</v>
      </c>
      <c r="AO34" s="1521">
        <f t="shared" si="2"/>
        <v>13</v>
      </c>
    </row>
    <row r="35" spans="1:41" s="795" customFormat="1" ht="16.5" customHeight="1">
      <c r="A35" s="836">
        <v>31</v>
      </c>
      <c r="B35" s="837" t="s">
        <v>207</v>
      </c>
      <c r="C35" s="838">
        <v>5</v>
      </c>
      <c r="D35" s="839">
        <f>'Table 3 Levels 1&amp;2'!AL38*90%</f>
        <v>3809.5955572598205</v>
      </c>
      <c r="E35" s="839">
        <f t="shared" si="3"/>
        <v>19047.977786299103</v>
      </c>
      <c r="F35" s="840">
        <f>'Table 4 Level 3'!P36*90%</f>
        <v>558.74700000000007</v>
      </c>
      <c r="G35" s="840">
        <f t="shared" si="4"/>
        <v>2793.7350000000006</v>
      </c>
      <c r="H35" s="840">
        <f t="shared" si="5"/>
        <v>21841.712786299104</v>
      </c>
      <c r="I35" s="840">
        <f>'Oct midyear adj_Connections'!K36</f>
        <v>-4368.3425572598208</v>
      </c>
      <c r="J35" s="840">
        <f>'Feb midyear adj_Connections'!K36</f>
        <v>-6552.5138358897311</v>
      </c>
      <c r="K35" s="840">
        <f t="shared" si="6"/>
        <v>-10920.856393149552</v>
      </c>
      <c r="L35" s="840">
        <f t="shared" si="7"/>
        <v>10920.856393149552</v>
      </c>
      <c r="M35" s="840">
        <f t="shared" si="8"/>
        <v>-27</v>
      </c>
      <c r="N35" s="841">
        <f t="shared" si="9"/>
        <v>10893.856393149552</v>
      </c>
      <c r="O35" s="841">
        <v>0</v>
      </c>
      <c r="P35" s="842">
        <f t="shared" si="10"/>
        <v>10893.856393149552</v>
      </c>
      <c r="Q35" s="843"/>
      <c r="R35" s="842">
        <f t="shared" si="11"/>
        <v>10893.856393149552</v>
      </c>
      <c r="S35" s="842">
        <f>1816*8</f>
        <v>14528</v>
      </c>
      <c r="T35" s="842">
        <f t="shared" si="12"/>
        <v>-3634.1436068504481</v>
      </c>
      <c r="U35" s="842">
        <f t="shared" si="13"/>
        <v>-909</v>
      </c>
      <c r="V35" s="845">
        <f>'[11]FY2011-12_Final'!$K38*90%</f>
        <v>4209.3</v>
      </c>
      <c r="W35" s="845">
        <f t="shared" si="14"/>
        <v>21046.5</v>
      </c>
      <c r="X35" s="846">
        <f>'Oct midyear adj_Connections'!E36</f>
        <v>-1</v>
      </c>
      <c r="Y35" s="845">
        <f t="shared" si="15"/>
        <v>-4209.3</v>
      </c>
      <c r="Z35" s="846">
        <f>'Feb midyear adj_Connections'!E36</f>
        <v>-3</v>
      </c>
      <c r="AA35" s="845">
        <f t="shared" si="16"/>
        <v>-6313.9500000000007</v>
      </c>
      <c r="AB35" s="845">
        <f t="shared" si="17"/>
        <v>-10523.25</v>
      </c>
      <c r="AC35" s="845">
        <f t="shared" si="18"/>
        <v>10523.25</v>
      </c>
      <c r="AD35" s="845">
        <f t="shared" si="19"/>
        <v>-26</v>
      </c>
      <c r="AE35" s="845">
        <f t="shared" si="20"/>
        <v>10497.25</v>
      </c>
      <c r="AF35" s="844">
        <v>0</v>
      </c>
      <c r="AG35" s="847">
        <f t="shared" si="21"/>
        <v>10497.25</v>
      </c>
      <c r="AH35" s="847">
        <f>1705*8</f>
        <v>13640</v>
      </c>
      <c r="AI35" s="847">
        <f t="shared" si="22"/>
        <v>-3142.75</v>
      </c>
      <c r="AJ35" s="847">
        <f t="shared" si="23"/>
        <v>-786</v>
      </c>
      <c r="AK35" s="848">
        <f t="shared" si="24"/>
        <v>21391.106393149552</v>
      </c>
      <c r="AL35" s="848">
        <f t="shared" si="1"/>
        <v>-1695</v>
      </c>
      <c r="AM35" s="1517"/>
      <c r="AN35" s="1517">
        <v>-51</v>
      </c>
      <c r="AO35" s="1521">
        <f t="shared" si="2"/>
        <v>25</v>
      </c>
    </row>
    <row r="36" spans="1:41" s="795" customFormat="1" ht="16.5" customHeight="1">
      <c r="A36" s="836">
        <v>32</v>
      </c>
      <c r="B36" s="837" t="s">
        <v>208</v>
      </c>
      <c r="C36" s="849">
        <v>33</v>
      </c>
      <c r="D36" s="850">
        <f>'Table 3 Levels 1&amp;2'!AL39*90%</f>
        <v>4878.1056037962908</v>
      </c>
      <c r="E36" s="850">
        <f t="shared" si="3"/>
        <v>160977.48492527759</v>
      </c>
      <c r="F36" s="851">
        <f>'Table 4 Level 3'!P37*90%</f>
        <v>503.79300000000001</v>
      </c>
      <c r="G36" s="851">
        <f t="shared" si="4"/>
        <v>16625.169000000002</v>
      </c>
      <c r="H36" s="851">
        <f t="shared" si="5"/>
        <v>177602.65392527758</v>
      </c>
      <c r="I36" s="851">
        <f>'Oct midyear adj_Connections'!K37</f>
        <v>0</v>
      </c>
      <c r="J36" s="851">
        <f>'Feb midyear adj_Connections'!K37</f>
        <v>-2690.9493018981452</v>
      </c>
      <c r="K36" s="851">
        <f t="shared" si="6"/>
        <v>-2690.9493018981452</v>
      </c>
      <c r="L36" s="851">
        <f t="shared" si="7"/>
        <v>174911.70462337942</v>
      </c>
      <c r="M36" s="851">
        <f t="shared" si="8"/>
        <v>-437</v>
      </c>
      <c r="N36" s="852">
        <f t="shared" si="9"/>
        <v>174474.70462337942</v>
      </c>
      <c r="O36" s="852">
        <v>0</v>
      </c>
      <c r="P36" s="853">
        <f t="shared" si="10"/>
        <v>174474.70462337942</v>
      </c>
      <c r="Q36" s="854"/>
      <c r="R36" s="853">
        <f t="shared" si="11"/>
        <v>174474.70462337942</v>
      </c>
      <c r="S36" s="853">
        <f>14763*8</f>
        <v>118104</v>
      </c>
      <c r="T36" s="853">
        <f t="shared" si="12"/>
        <v>56370.704623379424</v>
      </c>
      <c r="U36" s="853">
        <f t="shared" si="13"/>
        <v>14093</v>
      </c>
      <c r="V36" s="856">
        <f>'[11]FY2011-12_Final'!$K39*90%</f>
        <v>1687.5</v>
      </c>
      <c r="W36" s="856">
        <f t="shared" si="14"/>
        <v>55687.5</v>
      </c>
      <c r="X36" s="857">
        <f>'Oct midyear adj_Connections'!E37</f>
        <v>0</v>
      </c>
      <c r="Y36" s="856">
        <f t="shared" si="15"/>
        <v>0</v>
      </c>
      <c r="Z36" s="857">
        <f>'Feb midyear adj_Connections'!E37</f>
        <v>-1</v>
      </c>
      <c r="AA36" s="856">
        <f t="shared" si="16"/>
        <v>-843.75</v>
      </c>
      <c r="AB36" s="856">
        <f t="shared" si="17"/>
        <v>-843.75</v>
      </c>
      <c r="AC36" s="856">
        <f t="shared" si="18"/>
        <v>54843.75</v>
      </c>
      <c r="AD36" s="856">
        <f t="shared" si="19"/>
        <v>-137</v>
      </c>
      <c r="AE36" s="856">
        <f t="shared" si="20"/>
        <v>54706.75</v>
      </c>
      <c r="AF36" s="855">
        <v>0</v>
      </c>
      <c r="AG36" s="858">
        <f t="shared" si="21"/>
        <v>54706.75</v>
      </c>
      <c r="AH36" s="858">
        <f>4681*8</f>
        <v>37448</v>
      </c>
      <c r="AI36" s="858">
        <f t="shared" si="22"/>
        <v>17258.75</v>
      </c>
      <c r="AJ36" s="858">
        <f t="shared" si="23"/>
        <v>4315</v>
      </c>
      <c r="AK36" s="859">
        <f t="shared" si="24"/>
        <v>229181.45462337942</v>
      </c>
      <c r="AL36" s="859">
        <f t="shared" si="1"/>
        <v>18408</v>
      </c>
      <c r="AM36" s="1517"/>
      <c r="AN36" s="1517">
        <v>-141</v>
      </c>
      <c r="AO36" s="1521">
        <f t="shared" si="2"/>
        <v>4</v>
      </c>
    </row>
    <row r="37" spans="1:41" s="795" customFormat="1" ht="16.5" customHeight="1">
      <c r="A37" s="836">
        <v>33</v>
      </c>
      <c r="B37" s="837" t="s">
        <v>209</v>
      </c>
      <c r="C37" s="849">
        <v>2</v>
      </c>
      <c r="D37" s="850">
        <f>'Table 3 Levels 1&amp;2'!AL40*90%</f>
        <v>5150.6824273781667</v>
      </c>
      <c r="E37" s="850">
        <f t="shared" si="3"/>
        <v>10301.364854756333</v>
      </c>
      <c r="F37" s="851">
        <f>'Table 4 Level 3'!P38*90%</f>
        <v>589.77900000000011</v>
      </c>
      <c r="G37" s="851">
        <f t="shared" si="4"/>
        <v>1179.5580000000002</v>
      </c>
      <c r="H37" s="851">
        <f t="shared" si="5"/>
        <v>11480.922854756334</v>
      </c>
      <c r="I37" s="851">
        <f>'Oct midyear adj_Connections'!K38</f>
        <v>0</v>
      </c>
      <c r="J37" s="851">
        <f>'Feb midyear adj_Connections'!K38</f>
        <v>0</v>
      </c>
      <c r="K37" s="851">
        <f t="shared" si="6"/>
        <v>0</v>
      </c>
      <c r="L37" s="851">
        <f t="shared" si="7"/>
        <v>11480.922854756334</v>
      </c>
      <c r="M37" s="851">
        <f t="shared" si="8"/>
        <v>-29</v>
      </c>
      <c r="N37" s="852">
        <f t="shared" si="9"/>
        <v>11451.922854756334</v>
      </c>
      <c r="O37" s="852">
        <v>0</v>
      </c>
      <c r="P37" s="853">
        <f t="shared" si="10"/>
        <v>11451.922854756334</v>
      </c>
      <c r="Q37" s="854"/>
      <c r="R37" s="853">
        <f t="shared" si="11"/>
        <v>11451.922854756334</v>
      </c>
      <c r="S37" s="853">
        <f>954*8</f>
        <v>7632</v>
      </c>
      <c r="T37" s="853">
        <f t="shared" si="12"/>
        <v>3819.9228547563343</v>
      </c>
      <c r="U37" s="853">
        <f t="shared" si="13"/>
        <v>955</v>
      </c>
      <c r="V37" s="856">
        <f>'[11]FY2011-12_Final'!$K40*90%</f>
        <v>2740.5</v>
      </c>
      <c r="W37" s="856">
        <f t="shared" si="14"/>
        <v>5481</v>
      </c>
      <c r="X37" s="857">
        <f>'Oct midyear adj_Connections'!E38</f>
        <v>0</v>
      </c>
      <c r="Y37" s="856">
        <f t="shared" si="15"/>
        <v>0</v>
      </c>
      <c r="Z37" s="857">
        <f>'Feb midyear adj_Connections'!E38</f>
        <v>0</v>
      </c>
      <c r="AA37" s="856">
        <f t="shared" si="16"/>
        <v>0</v>
      </c>
      <c r="AB37" s="856">
        <f t="shared" si="17"/>
        <v>0</v>
      </c>
      <c r="AC37" s="856">
        <f t="shared" si="18"/>
        <v>5481</v>
      </c>
      <c r="AD37" s="856">
        <f t="shared" si="19"/>
        <v>-14</v>
      </c>
      <c r="AE37" s="856">
        <f t="shared" si="20"/>
        <v>5467</v>
      </c>
      <c r="AF37" s="855">
        <v>0</v>
      </c>
      <c r="AG37" s="858">
        <f t="shared" si="21"/>
        <v>5467</v>
      </c>
      <c r="AH37" s="858">
        <f>561*8</f>
        <v>4488</v>
      </c>
      <c r="AI37" s="858">
        <f t="shared" si="22"/>
        <v>979</v>
      </c>
      <c r="AJ37" s="858">
        <f t="shared" si="23"/>
        <v>245</v>
      </c>
      <c r="AK37" s="859">
        <f t="shared" si="24"/>
        <v>16918.922854756333</v>
      </c>
      <c r="AL37" s="859">
        <f t="shared" si="1"/>
        <v>1200</v>
      </c>
      <c r="AM37" s="1517"/>
      <c r="AN37" s="1517">
        <v>-17</v>
      </c>
      <c r="AO37" s="1521">
        <f t="shared" si="2"/>
        <v>3</v>
      </c>
    </row>
    <row r="38" spans="1:41" s="795" customFormat="1" ht="16.5" customHeight="1">
      <c r="A38" s="836">
        <v>34</v>
      </c>
      <c r="B38" s="837" t="s">
        <v>210</v>
      </c>
      <c r="C38" s="849">
        <v>3</v>
      </c>
      <c r="D38" s="850">
        <f>'Table 3 Levels 1&amp;2'!AL41*90%</f>
        <v>5188.309170721649</v>
      </c>
      <c r="E38" s="850">
        <f t="shared" si="3"/>
        <v>15564.927512164948</v>
      </c>
      <c r="F38" s="851">
        <f>'Table 4 Level 3'!P39*90%</f>
        <v>579.69900000000018</v>
      </c>
      <c r="G38" s="851">
        <f t="shared" si="4"/>
        <v>1739.0970000000007</v>
      </c>
      <c r="H38" s="851">
        <f t="shared" si="5"/>
        <v>17304.02451216495</v>
      </c>
      <c r="I38" s="851">
        <f>'Oct midyear adj_Connections'!K39</f>
        <v>-5768.0081707216495</v>
      </c>
      <c r="J38" s="851">
        <f>'Feb midyear adj_Connections'!K39</f>
        <v>0</v>
      </c>
      <c r="K38" s="851">
        <f t="shared" si="6"/>
        <v>-5768.0081707216495</v>
      </c>
      <c r="L38" s="851">
        <f t="shared" si="7"/>
        <v>11536.016341443301</v>
      </c>
      <c r="M38" s="851">
        <f t="shared" si="8"/>
        <v>-29</v>
      </c>
      <c r="N38" s="852">
        <f t="shared" si="9"/>
        <v>11507.016341443301</v>
      </c>
      <c r="O38" s="852">
        <v>0</v>
      </c>
      <c r="P38" s="853">
        <f t="shared" si="10"/>
        <v>11507.016341443301</v>
      </c>
      <c r="Q38" s="854"/>
      <c r="R38" s="853">
        <f t="shared" si="11"/>
        <v>11507.016341443301</v>
      </c>
      <c r="S38" s="853">
        <f>1438*8</f>
        <v>11504</v>
      </c>
      <c r="T38" s="853">
        <f t="shared" si="12"/>
        <v>3.0163414433009166</v>
      </c>
      <c r="U38" s="853">
        <f t="shared" si="13"/>
        <v>1</v>
      </c>
      <c r="V38" s="856">
        <f>'[11]FY2011-12_Final'!$K41*90%</f>
        <v>2432.7000000000003</v>
      </c>
      <c r="W38" s="856">
        <f t="shared" si="14"/>
        <v>7298.1</v>
      </c>
      <c r="X38" s="857">
        <f>'Oct midyear adj_Connections'!E39</f>
        <v>-1</v>
      </c>
      <c r="Y38" s="856">
        <f t="shared" si="15"/>
        <v>-2432.7000000000003</v>
      </c>
      <c r="Z38" s="857">
        <f>'Feb midyear adj_Connections'!E39</f>
        <v>0</v>
      </c>
      <c r="AA38" s="856">
        <f t="shared" si="16"/>
        <v>0</v>
      </c>
      <c r="AB38" s="856">
        <f t="shared" si="17"/>
        <v>-2432.7000000000003</v>
      </c>
      <c r="AC38" s="856">
        <f t="shared" si="18"/>
        <v>4865.3999999999996</v>
      </c>
      <c r="AD38" s="856">
        <f t="shared" si="19"/>
        <v>-12</v>
      </c>
      <c r="AE38" s="856">
        <f t="shared" si="20"/>
        <v>4853.3999999999996</v>
      </c>
      <c r="AF38" s="855">
        <v>0</v>
      </c>
      <c r="AG38" s="858">
        <f t="shared" si="21"/>
        <v>4853.3999999999996</v>
      </c>
      <c r="AH38" s="858">
        <f>571*8</f>
        <v>4568</v>
      </c>
      <c r="AI38" s="858">
        <f t="shared" si="22"/>
        <v>285.39999999999964</v>
      </c>
      <c r="AJ38" s="858">
        <f t="shared" si="23"/>
        <v>71</v>
      </c>
      <c r="AK38" s="859">
        <f t="shared" si="24"/>
        <v>16360.416341443301</v>
      </c>
      <c r="AL38" s="859">
        <f t="shared" si="1"/>
        <v>72</v>
      </c>
      <c r="AM38" s="1517"/>
      <c r="AN38" s="1517">
        <v>-17</v>
      </c>
      <c r="AO38" s="1521">
        <f t="shared" si="2"/>
        <v>5</v>
      </c>
    </row>
    <row r="39" spans="1:41" s="795" customFormat="1" ht="16.5" customHeight="1">
      <c r="A39" s="860">
        <v>35</v>
      </c>
      <c r="B39" s="861" t="s">
        <v>211</v>
      </c>
      <c r="C39" s="862">
        <v>10</v>
      </c>
      <c r="D39" s="863">
        <f>'Table 3 Levels 1&amp;2'!AL42*90%</f>
        <v>4468.1274864201305</v>
      </c>
      <c r="E39" s="863">
        <f t="shared" si="3"/>
        <v>44681.274864201303</v>
      </c>
      <c r="F39" s="864">
        <f>'Table 4 Level 3'!P40*90%</f>
        <v>484.16400000000004</v>
      </c>
      <c r="G39" s="864">
        <f t="shared" si="4"/>
        <v>4841.6400000000003</v>
      </c>
      <c r="H39" s="864">
        <f t="shared" si="5"/>
        <v>49522.914864201302</v>
      </c>
      <c r="I39" s="864">
        <f>'Oct midyear adj_Connections'!K40</f>
        <v>4952.2914864201302</v>
      </c>
      <c r="J39" s="864">
        <f>'Feb midyear adj_Connections'!K40</f>
        <v>-2476.1457432100651</v>
      </c>
      <c r="K39" s="864">
        <f t="shared" si="6"/>
        <v>2476.1457432100651</v>
      </c>
      <c r="L39" s="864">
        <f t="shared" si="7"/>
        <v>51999.060607411368</v>
      </c>
      <c r="M39" s="864">
        <f t="shared" si="8"/>
        <v>-130</v>
      </c>
      <c r="N39" s="865">
        <f t="shared" si="9"/>
        <v>51869.060607411368</v>
      </c>
      <c r="O39" s="865">
        <v>0</v>
      </c>
      <c r="P39" s="866">
        <f t="shared" si="10"/>
        <v>51869.060607411368</v>
      </c>
      <c r="Q39" s="867"/>
      <c r="R39" s="866">
        <f t="shared" si="11"/>
        <v>51869.060607411368</v>
      </c>
      <c r="S39" s="866">
        <f>4117*8</f>
        <v>32936</v>
      </c>
      <c r="T39" s="866">
        <f t="shared" si="12"/>
        <v>18933.060607411368</v>
      </c>
      <c r="U39" s="866">
        <f t="shared" si="13"/>
        <v>4733</v>
      </c>
      <c r="V39" s="869">
        <f>'[11]FY2011-12_Final'!$K42*90%</f>
        <v>2833.2000000000003</v>
      </c>
      <c r="W39" s="869">
        <f t="shared" si="14"/>
        <v>28332.000000000004</v>
      </c>
      <c r="X39" s="870">
        <f>'Oct midyear adj_Connections'!E40</f>
        <v>1</v>
      </c>
      <c r="Y39" s="869">
        <f t="shared" si="15"/>
        <v>2833.2000000000003</v>
      </c>
      <c r="Z39" s="870">
        <f>'Feb midyear adj_Connections'!E40</f>
        <v>-1</v>
      </c>
      <c r="AA39" s="869">
        <f t="shared" si="16"/>
        <v>-1416.6000000000001</v>
      </c>
      <c r="AB39" s="869">
        <f t="shared" si="17"/>
        <v>1416.6000000000001</v>
      </c>
      <c r="AC39" s="869">
        <f t="shared" si="18"/>
        <v>29748.600000000006</v>
      </c>
      <c r="AD39" s="869">
        <f t="shared" si="19"/>
        <v>-74</v>
      </c>
      <c r="AE39" s="869">
        <f t="shared" si="20"/>
        <v>29674.600000000006</v>
      </c>
      <c r="AF39" s="868">
        <v>0</v>
      </c>
      <c r="AG39" s="871">
        <f t="shared" si="21"/>
        <v>29674.600000000006</v>
      </c>
      <c r="AH39" s="871">
        <f>2209*8</f>
        <v>17672</v>
      </c>
      <c r="AI39" s="871">
        <f t="shared" si="22"/>
        <v>12002.600000000006</v>
      </c>
      <c r="AJ39" s="871">
        <f t="shared" si="23"/>
        <v>3001</v>
      </c>
      <c r="AK39" s="872">
        <f t="shared" si="24"/>
        <v>81543.660607411381</v>
      </c>
      <c r="AL39" s="872">
        <f t="shared" si="1"/>
        <v>7734</v>
      </c>
      <c r="AM39" s="1517"/>
      <c r="AN39" s="1517">
        <v>-66</v>
      </c>
      <c r="AO39" s="1521">
        <f t="shared" si="2"/>
        <v>-8</v>
      </c>
    </row>
    <row r="40" spans="1:41" s="795" customFormat="1" ht="16.5" customHeight="1">
      <c r="A40" s="836">
        <v>36</v>
      </c>
      <c r="B40" s="837" t="s">
        <v>74</v>
      </c>
      <c r="C40" s="838">
        <v>23</v>
      </c>
      <c r="D40" s="839">
        <f>'Table 3 Levels 1&amp;2'!AL43*90%</f>
        <v>2926.8243863744597</v>
      </c>
      <c r="E40" s="839">
        <f t="shared" si="3"/>
        <v>67316.960886612578</v>
      </c>
      <c r="F40" s="840">
        <f>'Table 5B1_RSD_Orleans'!F70*90%</f>
        <v>671.43020547945218</v>
      </c>
      <c r="G40" s="840">
        <f t="shared" si="4"/>
        <v>15442.8947260274</v>
      </c>
      <c r="H40" s="840">
        <f t="shared" si="5"/>
        <v>82759.855612639978</v>
      </c>
      <c r="I40" s="840">
        <f>'Oct midyear adj_Connections'!K41</f>
        <v>-32384.291326685205</v>
      </c>
      <c r="J40" s="840">
        <f>'Feb midyear adj_Connections'!K41</f>
        <v>0</v>
      </c>
      <c r="K40" s="840">
        <f t="shared" si="6"/>
        <v>-32384.291326685205</v>
      </c>
      <c r="L40" s="840">
        <f t="shared" si="7"/>
        <v>50375.564285954773</v>
      </c>
      <c r="M40" s="840">
        <f t="shared" si="8"/>
        <v>-126</v>
      </c>
      <c r="N40" s="841">
        <f t="shared" si="9"/>
        <v>50249.564285954773</v>
      </c>
      <c r="O40" s="841">
        <v>0</v>
      </c>
      <c r="P40" s="842">
        <f t="shared" si="10"/>
        <v>50249.564285954773</v>
      </c>
      <c r="Q40" s="843"/>
      <c r="R40" s="842">
        <f t="shared" si="11"/>
        <v>50249.564285954773</v>
      </c>
      <c r="S40" s="842">
        <f>6879*8</f>
        <v>55032</v>
      </c>
      <c r="T40" s="842">
        <f t="shared" si="12"/>
        <v>-4782.4357140452266</v>
      </c>
      <c r="U40" s="842">
        <f t="shared" si="13"/>
        <v>-1196</v>
      </c>
      <c r="V40" s="845">
        <f>'[11]FY2011-12_Final'!$K43*90%</f>
        <v>4365.9000000000005</v>
      </c>
      <c r="W40" s="845">
        <f t="shared" si="14"/>
        <v>100415.70000000001</v>
      </c>
      <c r="X40" s="846">
        <f>'Oct midyear adj_Connections'!E41</f>
        <v>-9</v>
      </c>
      <c r="Y40" s="845">
        <f t="shared" si="15"/>
        <v>-39293.100000000006</v>
      </c>
      <c r="Z40" s="846">
        <f>'Feb midyear adj_Connections'!E41</f>
        <v>0</v>
      </c>
      <c r="AA40" s="845">
        <f t="shared" si="16"/>
        <v>0</v>
      </c>
      <c r="AB40" s="845">
        <f t="shared" si="17"/>
        <v>-39293.100000000006</v>
      </c>
      <c r="AC40" s="845">
        <f t="shared" si="18"/>
        <v>61122.600000000006</v>
      </c>
      <c r="AD40" s="845">
        <f t="shared" si="19"/>
        <v>-153</v>
      </c>
      <c r="AE40" s="845">
        <f t="shared" si="20"/>
        <v>60969.600000000006</v>
      </c>
      <c r="AF40" s="844">
        <v>0</v>
      </c>
      <c r="AG40" s="847">
        <f t="shared" si="21"/>
        <v>60969.600000000006</v>
      </c>
      <c r="AH40" s="847">
        <f>8361*8</f>
        <v>66888</v>
      </c>
      <c r="AI40" s="847">
        <f t="shared" si="22"/>
        <v>-5918.3999999999942</v>
      </c>
      <c r="AJ40" s="847">
        <f t="shared" si="23"/>
        <v>-1480</v>
      </c>
      <c r="AK40" s="848">
        <f t="shared" si="24"/>
        <v>111219.16428595479</v>
      </c>
      <c r="AL40" s="848">
        <f t="shared" si="1"/>
        <v>-2676</v>
      </c>
      <c r="AM40" s="1517"/>
      <c r="AN40" s="1517">
        <v>-251</v>
      </c>
      <c r="AO40" s="1521">
        <f t="shared" si="2"/>
        <v>98</v>
      </c>
    </row>
    <row r="41" spans="1:41" s="795" customFormat="1" ht="16.5" customHeight="1">
      <c r="A41" s="836">
        <v>37</v>
      </c>
      <c r="B41" s="837" t="s">
        <v>213</v>
      </c>
      <c r="C41" s="849">
        <v>9</v>
      </c>
      <c r="D41" s="850">
        <f>'Table 3 Levels 1&amp;2'!AL44*90%</f>
        <v>4924.8804762576674</v>
      </c>
      <c r="E41" s="850">
        <f t="shared" si="3"/>
        <v>44323.924286319008</v>
      </c>
      <c r="F41" s="851">
        <f>'Table 4 Level 3'!P42*90%</f>
        <v>588.24900000000002</v>
      </c>
      <c r="G41" s="851">
        <f t="shared" si="4"/>
        <v>5294.241</v>
      </c>
      <c r="H41" s="851">
        <f t="shared" si="5"/>
        <v>49618.16528631901</v>
      </c>
      <c r="I41" s="851">
        <f>'Oct midyear adj_Connections'!K42</f>
        <v>38591.906333803672</v>
      </c>
      <c r="J41" s="851">
        <f>'Feb midyear adj_Connections'!K42</f>
        <v>-11026.258952515334</v>
      </c>
      <c r="K41" s="851">
        <f t="shared" si="6"/>
        <v>27565.647381288338</v>
      </c>
      <c r="L41" s="851">
        <f t="shared" si="7"/>
        <v>77183.812667607344</v>
      </c>
      <c r="M41" s="851">
        <f t="shared" si="8"/>
        <v>-193</v>
      </c>
      <c r="N41" s="852">
        <f t="shared" si="9"/>
        <v>76990.812667607344</v>
      </c>
      <c r="O41" s="852">
        <v>0</v>
      </c>
      <c r="P41" s="853">
        <f t="shared" si="10"/>
        <v>76990.812667607344</v>
      </c>
      <c r="Q41" s="854"/>
      <c r="R41" s="853">
        <f t="shared" si="11"/>
        <v>76990.812667607344</v>
      </c>
      <c r="S41" s="853">
        <f>4125*8</f>
        <v>33000</v>
      </c>
      <c r="T41" s="853">
        <f t="shared" si="12"/>
        <v>43990.812667607344</v>
      </c>
      <c r="U41" s="853">
        <f t="shared" si="13"/>
        <v>10998</v>
      </c>
      <c r="V41" s="856">
        <f>'[11]FY2011-12_Final'!$K44*90%</f>
        <v>2727</v>
      </c>
      <c r="W41" s="856">
        <f t="shared" si="14"/>
        <v>24543</v>
      </c>
      <c r="X41" s="857">
        <f>'Oct midyear adj_Connections'!E42</f>
        <v>7</v>
      </c>
      <c r="Y41" s="856">
        <f t="shared" si="15"/>
        <v>19089</v>
      </c>
      <c r="Z41" s="857">
        <f>'Feb midyear adj_Connections'!E42</f>
        <v>-4</v>
      </c>
      <c r="AA41" s="856">
        <f t="shared" si="16"/>
        <v>-5454</v>
      </c>
      <c r="AB41" s="856">
        <f t="shared" si="17"/>
        <v>13635</v>
      </c>
      <c r="AC41" s="856">
        <f t="shared" si="18"/>
        <v>38178</v>
      </c>
      <c r="AD41" s="856">
        <f t="shared" si="19"/>
        <v>-95</v>
      </c>
      <c r="AE41" s="856">
        <f t="shared" si="20"/>
        <v>38083</v>
      </c>
      <c r="AF41" s="855">
        <v>0</v>
      </c>
      <c r="AG41" s="858">
        <f t="shared" si="21"/>
        <v>38083</v>
      </c>
      <c r="AH41" s="858">
        <f>2050*8</f>
        <v>16400</v>
      </c>
      <c r="AI41" s="858">
        <f t="shared" si="22"/>
        <v>21683</v>
      </c>
      <c r="AJ41" s="858">
        <f t="shared" si="23"/>
        <v>5421</v>
      </c>
      <c r="AK41" s="859">
        <f t="shared" si="24"/>
        <v>115073.81266760734</v>
      </c>
      <c r="AL41" s="859">
        <f t="shared" si="1"/>
        <v>16419</v>
      </c>
      <c r="AM41" s="1517"/>
      <c r="AN41" s="1517">
        <v>-62</v>
      </c>
      <c r="AO41" s="1521">
        <f t="shared" si="2"/>
        <v>-33</v>
      </c>
    </row>
    <row r="42" spans="1:41" s="795" customFormat="1" ht="16.5" customHeight="1">
      <c r="A42" s="836">
        <v>38</v>
      </c>
      <c r="B42" s="837" t="s">
        <v>214</v>
      </c>
      <c r="C42" s="849">
        <v>2</v>
      </c>
      <c r="D42" s="850">
        <f>'Table 3 Levels 1&amp;2'!AL45*90%</f>
        <v>2156.9024476931331</v>
      </c>
      <c r="E42" s="850">
        <f t="shared" si="3"/>
        <v>4313.8048953862663</v>
      </c>
      <c r="F42" s="851">
        <f>'Table 4 Level 3'!P43*90%</f>
        <v>746.92800000000011</v>
      </c>
      <c r="G42" s="851">
        <f t="shared" si="4"/>
        <v>1493.8560000000002</v>
      </c>
      <c r="H42" s="851">
        <f t="shared" si="5"/>
        <v>5807.6608953862669</v>
      </c>
      <c r="I42" s="851">
        <f>'Oct midyear adj_Connections'!K43</f>
        <v>-5807.6608953862669</v>
      </c>
      <c r="J42" s="851">
        <f>'Feb midyear adj_Connections'!K43</f>
        <v>0</v>
      </c>
      <c r="K42" s="851">
        <f t="shared" si="6"/>
        <v>-5807.6608953862669</v>
      </c>
      <c r="L42" s="851">
        <f t="shared" si="7"/>
        <v>0</v>
      </c>
      <c r="M42" s="851">
        <f t="shared" si="8"/>
        <v>0</v>
      </c>
      <c r="N42" s="852">
        <f t="shared" si="9"/>
        <v>0</v>
      </c>
      <c r="O42" s="852">
        <v>0</v>
      </c>
      <c r="P42" s="853">
        <f t="shared" si="10"/>
        <v>0</v>
      </c>
      <c r="Q42" s="854"/>
      <c r="R42" s="853">
        <f t="shared" si="11"/>
        <v>0</v>
      </c>
      <c r="S42" s="853">
        <f>483*8</f>
        <v>3864</v>
      </c>
      <c r="T42" s="853">
        <f t="shared" si="12"/>
        <v>-3864</v>
      </c>
      <c r="U42" s="853">
        <f t="shared" si="13"/>
        <v>-966</v>
      </c>
      <c r="V42" s="856">
        <f>'[11]FY2011-12_Final'!$K45*90%</f>
        <v>10281.6</v>
      </c>
      <c r="W42" s="856">
        <f t="shared" si="14"/>
        <v>20563.2</v>
      </c>
      <c r="X42" s="857">
        <f>'Oct midyear adj_Connections'!E43</f>
        <v>-2</v>
      </c>
      <c r="Y42" s="856">
        <f t="shared" si="15"/>
        <v>-20563.2</v>
      </c>
      <c r="Z42" s="857">
        <f>'Feb midyear adj_Connections'!E43</f>
        <v>0</v>
      </c>
      <c r="AA42" s="856">
        <f t="shared" si="16"/>
        <v>0</v>
      </c>
      <c r="AB42" s="856">
        <f t="shared" si="17"/>
        <v>-20563.2</v>
      </c>
      <c r="AC42" s="856">
        <f t="shared" si="18"/>
        <v>0</v>
      </c>
      <c r="AD42" s="856">
        <f t="shared" si="19"/>
        <v>0</v>
      </c>
      <c r="AE42" s="856">
        <f t="shared" si="20"/>
        <v>0</v>
      </c>
      <c r="AF42" s="855">
        <v>0</v>
      </c>
      <c r="AG42" s="858">
        <f t="shared" si="21"/>
        <v>0</v>
      </c>
      <c r="AH42" s="858">
        <f>1668*8</f>
        <v>13344</v>
      </c>
      <c r="AI42" s="858">
        <f t="shared" si="22"/>
        <v>-13344</v>
      </c>
      <c r="AJ42" s="858">
        <f t="shared" si="23"/>
        <v>-3336</v>
      </c>
      <c r="AK42" s="859">
        <f t="shared" si="24"/>
        <v>0</v>
      </c>
      <c r="AL42" s="859">
        <f t="shared" si="1"/>
        <v>-4302</v>
      </c>
      <c r="AM42" s="1517"/>
      <c r="AN42" s="1517">
        <v>-50</v>
      </c>
      <c r="AO42" s="1521">
        <f t="shared" si="2"/>
        <v>50</v>
      </c>
    </row>
    <row r="43" spans="1:41" s="795" customFormat="1" ht="16.5" customHeight="1">
      <c r="A43" s="836">
        <v>39</v>
      </c>
      <c r="B43" s="837" t="s">
        <v>76</v>
      </c>
      <c r="C43" s="849">
        <v>8</v>
      </c>
      <c r="D43" s="850">
        <f>'Table 3 Levels 1&amp;2'!AL46*90%</f>
        <v>3271.7738389265178</v>
      </c>
      <c r="E43" s="850">
        <f t="shared" si="3"/>
        <v>26174.190711412142</v>
      </c>
      <c r="F43" s="851">
        <f>'Table 5B2_RSD_LA'!F21*90%</f>
        <v>701.69015738498797</v>
      </c>
      <c r="G43" s="851">
        <f t="shared" si="4"/>
        <v>5613.5212590799038</v>
      </c>
      <c r="H43" s="851">
        <f t="shared" si="5"/>
        <v>31787.711970492048</v>
      </c>
      <c r="I43" s="851">
        <f>'Oct midyear adj_Connections'!K44</f>
        <v>-7946.927992623012</v>
      </c>
      <c r="J43" s="851">
        <f>'Feb midyear adj_Connections'!K44</f>
        <v>-1986.731998155753</v>
      </c>
      <c r="K43" s="851">
        <f t="shared" si="6"/>
        <v>-9933.659990778764</v>
      </c>
      <c r="L43" s="851">
        <f t="shared" si="7"/>
        <v>21854.051979713284</v>
      </c>
      <c r="M43" s="851">
        <f t="shared" si="8"/>
        <v>-55</v>
      </c>
      <c r="N43" s="852">
        <f t="shared" si="9"/>
        <v>21799.051979713284</v>
      </c>
      <c r="O43" s="852">
        <v>0</v>
      </c>
      <c r="P43" s="853">
        <f t="shared" si="10"/>
        <v>21799.051979713284</v>
      </c>
      <c r="Q43" s="854"/>
      <c r="R43" s="853">
        <f t="shared" si="11"/>
        <v>21799.051979713284</v>
      </c>
      <c r="S43" s="853">
        <f>2642*8</f>
        <v>21136</v>
      </c>
      <c r="T43" s="853">
        <f t="shared" si="12"/>
        <v>663.0519797132838</v>
      </c>
      <c r="U43" s="853">
        <f t="shared" si="13"/>
        <v>166</v>
      </c>
      <c r="V43" s="856">
        <f>'[11]FY2011-12_Final'!$K46*90%</f>
        <v>3580.2000000000003</v>
      </c>
      <c r="W43" s="856">
        <f t="shared" si="14"/>
        <v>28641.600000000002</v>
      </c>
      <c r="X43" s="857">
        <f>'Oct midyear adj_Connections'!E44</f>
        <v>-2</v>
      </c>
      <c r="Y43" s="856">
        <f t="shared" si="15"/>
        <v>-7160.4000000000005</v>
      </c>
      <c r="Z43" s="857">
        <f>'Feb midyear adj_Connections'!E44</f>
        <v>-1</v>
      </c>
      <c r="AA43" s="856">
        <f t="shared" si="16"/>
        <v>-1790.1000000000001</v>
      </c>
      <c r="AB43" s="856">
        <f t="shared" si="17"/>
        <v>-8950.5</v>
      </c>
      <c r="AC43" s="856">
        <f t="shared" si="18"/>
        <v>19691.100000000002</v>
      </c>
      <c r="AD43" s="856">
        <f t="shared" si="19"/>
        <v>-49</v>
      </c>
      <c r="AE43" s="856">
        <f t="shared" si="20"/>
        <v>19642.100000000002</v>
      </c>
      <c r="AF43" s="855">
        <v>0</v>
      </c>
      <c r="AG43" s="858">
        <f t="shared" si="21"/>
        <v>19642.100000000002</v>
      </c>
      <c r="AH43" s="858">
        <f>2458*8</f>
        <v>19664</v>
      </c>
      <c r="AI43" s="858">
        <f t="shared" si="22"/>
        <v>-21.899999999997817</v>
      </c>
      <c r="AJ43" s="858">
        <f t="shared" si="23"/>
        <v>-5</v>
      </c>
      <c r="AK43" s="859">
        <f t="shared" si="24"/>
        <v>41441.151979713286</v>
      </c>
      <c r="AL43" s="859">
        <f t="shared" si="1"/>
        <v>161</v>
      </c>
      <c r="AM43" s="1517"/>
      <c r="AN43" s="1517">
        <v>-74</v>
      </c>
      <c r="AO43" s="1521">
        <f t="shared" si="2"/>
        <v>25</v>
      </c>
    </row>
    <row r="44" spans="1:41" s="795" customFormat="1" ht="16.5" customHeight="1">
      <c r="A44" s="860">
        <v>40</v>
      </c>
      <c r="B44" s="861" t="s">
        <v>215</v>
      </c>
      <c r="C44" s="862">
        <v>25</v>
      </c>
      <c r="D44" s="863">
        <f>'Table 3 Levels 1&amp;2'!AL47*90%</f>
        <v>4318.8915815212367</v>
      </c>
      <c r="E44" s="863">
        <f t="shared" si="3"/>
        <v>107972.28953803092</v>
      </c>
      <c r="F44" s="864">
        <f>'Table 4 Level 3'!P45*90%</f>
        <v>630.24300000000005</v>
      </c>
      <c r="G44" s="864">
        <f t="shared" si="4"/>
        <v>15756.075000000001</v>
      </c>
      <c r="H44" s="864">
        <f t="shared" si="5"/>
        <v>123728.36453803092</v>
      </c>
      <c r="I44" s="864">
        <f>'Oct midyear adj_Connections'!K45</f>
        <v>4949.1345815212371</v>
      </c>
      <c r="J44" s="864">
        <f>'Feb midyear adj_Connections'!K45</f>
        <v>-4949.1345815212371</v>
      </c>
      <c r="K44" s="864">
        <f t="shared" si="6"/>
        <v>0</v>
      </c>
      <c r="L44" s="864">
        <f t="shared" si="7"/>
        <v>123728.36453803092</v>
      </c>
      <c r="M44" s="864">
        <f t="shared" si="8"/>
        <v>-309</v>
      </c>
      <c r="N44" s="865">
        <f t="shared" si="9"/>
        <v>123419.36453803092</v>
      </c>
      <c r="O44" s="865">
        <v>0</v>
      </c>
      <c r="P44" s="866">
        <f t="shared" si="10"/>
        <v>123419.36453803092</v>
      </c>
      <c r="Q44" s="867"/>
      <c r="R44" s="866">
        <f t="shared" si="11"/>
        <v>123419.36453803092</v>
      </c>
      <c r="S44" s="866">
        <f>10285*8</f>
        <v>82280</v>
      </c>
      <c r="T44" s="866">
        <f t="shared" si="12"/>
        <v>41139.364538030917</v>
      </c>
      <c r="U44" s="866">
        <f t="shared" si="13"/>
        <v>10285</v>
      </c>
      <c r="V44" s="869">
        <f>'[11]FY2011-12_Final'!$K47*90%</f>
        <v>2545.2000000000003</v>
      </c>
      <c r="W44" s="869">
        <f t="shared" si="14"/>
        <v>63630.000000000007</v>
      </c>
      <c r="X44" s="870">
        <f>'Oct midyear adj_Connections'!E45</f>
        <v>1</v>
      </c>
      <c r="Y44" s="869">
        <f t="shared" si="15"/>
        <v>2545.2000000000003</v>
      </c>
      <c r="Z44" s="870">
        <f>'Feb midyear adj_Connections'!E45</f>
        <v>-2</v>
      </c>
      <c r="AA44" s="869">
        <f t="shared" si="16"/>
        <v>-2545.2000000000003</v>
      </c>
      <c r="AB44" s="869">
        <f t="shared" si="17"/>
        <v>0</v>
      </c>
      <c r="AC44" s="869">
        <f t="shared" si="18"/>
        <v>63630.000000000015</v>
      </c>
      <c r="AD44" s="869">
        <f t="shared" si="19"/>
        <v>-159</v>
      </c>
      <c r="AE44" s="869">
        <f t="shared" si="20"/>
        <v>63471.000000000015</v>
      </c>
      <c r="AF44" s="868">
        <v>0</v>
      </c>
      <c r="AG44" s="871">
        <f t="shared" si="21"/>
        <v>63471.000000000015</v>
      </c>
      <c r="AH44" s="871">
        <f>5302*8</f>
        <v>42416</v>
      </c>
      <c r="AI44" s="871">
        <f t="shared" si="22"/>
        <v>21055.000000000015</v>
      </c>
      <c r="AJ44" s="871">
        <f t="shared" si="23"/>
        <v>5264</v>
      </c>
      <c r="AK44" s="872">
        <f t="shared" si="24"/>
        <v>186890.36453803093</v>
      </c>
      <c r="AL44" s="872">
        <f t="shared" si="1"/>
        <v>15549</v>
      </c>
      <c r="AM44" s="1517"/>
      <c r="AN44" s="1517">
        <v>-159</v>
      </c>
      <c r="AO44" s="1521">
        <f t="shared" si="2"/>
        <v>0</v>
      </c>
    </row>
    <row r="45" spans="1:41" s="795" customFormat="1" ht="16.5" customHeight="1">
      <c r="A45" s="836">
        <v>41</v>
      </c>
      <c r="B45" s="837" t="s">
        <v>216</v>
      </c>
      <c r="C45" s="838">
        <v>1</v>
      </c>
      <c r="D45" s="839">
        <f>'Table 3 Levels 1&amp;2'!AL48*90%</f>
        <v>2023.0154811715481</v>
      </c>
      <c r="E45" s="839">
        <f t="shared" si="3"/>
        <v>2023.0154811715481</v>
      </c>
      <c r="F45" s="840">
        <f>'Table 4 Level 3'!P46*90%</f>
        <v>797.59800000000007</v>
      </c>
      <c r="G45" s="840">
        <f t="shared" si="4"/>
        <v>797.59800000000007</v>
      </c>
      <c r="H45" s="840">
        <f t="shared" si="5"/>
        <v>2820.6134811715483</v>
      </c>
      <c r="I45" s="840">
        <f>'Oct midyear adj_Connections'!K46</f>
        <v>0</v>
      </c>
      <c r="J45" s="840">
        <f>'Feb midyear adj_Connections'!K46</f>
        <v>0</v>
      </c>
      <c r="K45" s="840">
        <f t="shared" si="6"/>
        <v>0</v>
      </c>
      <c r="L45" s="840">
        <f t="shared" si="7"/>
        <v>2820.6134811715483</v>
      </c>
      <c r="M45" s="840">
        <f t="shared" si="8"/>
        <v>-7</v>
      </c>
      <c r="N45" s="841">
        <f t="shared" si="9"/>
        <v>2813.6134811715483</v>
      </c>
      <c r="O45" s="841">
        <v>0</v>
      </c>
      <c r="P45" s="842">
        <f t="shared" si="10"/>
        <v>2813.6134811715483</v>
      </c>
      <c r="Q45" s="843"/>
      <c r="R45" s="842">
        <f t="shared" si="11"/>
        <v>2813.6134811715483</v>
      </c>
      <c r="S45" s="842">
        <f>234*8</f>
        <v>1872</v>
      </c>
      <c r="T45" s="842">
        <f t="shared" si="12"/>
        <v>941.6134811715483</v>
      </c>
      <c r="U45" s="842">
        <f t="shared" si="13"/>
        <v>235</v>
      </c>
      <c r="V45" s="845">
        <f>'[11]FY2011-12_Final'!$K48*90%</f>
        <v>15565.5</v>
      </c>
      <c r="W45" s="845">
        <f t="shared" si="14"/>
        <v>15565.5</v>
      </c>
      <c r="X45" s="846">
        <f>'Oct midyear adj_Connections'!E46</f>
        <v>0</v>
      </c>
      <c r="Y45" s="845">
        <f t="shared" si="15"/>
        <v>0</v>
      </c>
      <c r="Z45" s="846">
        <f>'Feb midyear adj_Connections'!E46</f>
        <v>0</v>
      </c>
      <c r="AA45" s="845">
        <f t="shared" si="16"/>
        <v>0</v>
      </c>
      <c r="AB45" s="845">
        <f t="shared" si="17"/>
        <v>0</v>
      </c>
      <c r="AC45" s="845">
        <f t="shared" si="18"/>
        <v>15565.5</v>
      </c>
      <c r="AD45" s="845">
        <f t="shared" si="19"/>
        <v>-39</v>
      </c>
      <c r="AE45" s="845">
        <f t="shared" si="20"/>
        <v>15526.5</v>
      </c>
      <c r="AF45" s="844">
        <v>0</v>
      </c>
      <c r="AG45" s="847">
        <f t="shared" si="21"/>
        <v>15526.5</v>
      </c>
      <c r="AH45" s="847">
        <f>1360*8</f>
        <v>10880</v>
      </c>
      <c r="AI45" s="847">
        <f t="shared" si="22"/>
        <v>4646.5</v>
      </c>
      <c r="AJ45" s="847">
        <f t="shared" si="23"/>
        <v>1162</v>
      </c>
      <c r="AK45" s="848">
        <f t="shared" si="24"/>
        <v>18340.113481171549</v>
      </c>
      <c r="AL45" s="848">
        <f t="shared" si="1"/>
        <v>1397</v>
      </c>
      <c r="AM45" s="1517"/>
      <c r="AN45" s="1517">
        <v>-41</v>
      </c>
      <c r="AO45" s="1521">
        <f t="shared" si="2"/>
        <v>2</v>
      </c>
    </row>
    <row r="46" spans="1:41" s="795" customFormat="1" ht="16.5" customHeight="1">
      <c r="A46" s="836">
        <v>42</v>
      </c>
      <c r="B46" s="837" t="s">
        <v>217</v>
      </c>
      <c r="C46" s="849">
        <v>0</v>
      </c>
      <c r="D46" s="850">
        <f>'Table 3 Levels 1&amp;2'!AL49*90%</f>
        <v>4950.977089527617</v>
      </c>
      <c r="E46" s="850">
        <f t="shared" si="3"/>
        <v>0</v>
      </c>
      <c r="F46" s="851">
        <f>'Table 4 Level 3'!P47*90%</f>
        <v>480.85199999999998</v>
      </c>
      <c r="G46" s="851">
        <f t="shared" si="4"/>
        <v>0</v>
      </c>
      <c r="H46" s="851">
        <f t="shared" si="5"/>
        <v>0</v>
      </c>
      <c r="I46" s="851">
        <f>'Oct midyear adj_Connections'!K47</f>
        <v>0</v>
      </c>
      <c r="J46" s="851">
        <f>'Feb midyear adj_Connections'!K47</f>
        <v>0</v>
      </c>
      <c r="K46" s="851">
        <f t="shared" si="6"/>
        <v>0</v>
      </c>
      <c r="L46" s="851">
        <f t="shared" si="7"/>
        <v>0</v>
      </c>
      <c r="M46" s="851">
        <f t="shared" si="8"/>
        <v>0</v>
      </c>
      <c r="N46" s="852">
        <f t="shared" si="9"/>
        <v>0</v>
      </c>
      <c r="O46" s="852">
        <v>0</v>
      </c>
      <c r="P46" s="853">
        <f t="shared" si="10"/>
        <v>0</v>
      </c>
      <c r="Q46" s="854"/>
      <c r="R46" s="853">
        <f t="shared" si="11"/>
        <v>0</v>
      </c>
      <c r="S46" s="853">
        <f>0*8</f>
        <v>0</v>
      </c>
      <c r="T46" s="853">
        <f t="shared" si="12"/>
        <v>0</v>
      </c>
      <c r="U46" s="853">
        <f t="shared" si="13"/>
        <v>0</v>
      </c>
      <c r="V46" s="856">
        <f>'[11]FY2011-12_Final'!$K49*90%</f>
        <v>2689.2000000000003</v>
      </c>
      <c r="W46" s="856">
        <f t="shared" si="14"/>
        <v>0</v>
      </c>
      <c r="X46" s="857">
        <f>'Oct midyear adj_Connections'!E47</f>
        <v>0</v>
      </c>
      <c r="Y46" s="856">
        <f t="shared" si="15"/>
        <v>0</v>
      </c>
      <c r="Z46" s="857">
        <f>'Feb midyear adj_Connections'!E47</f>
        <v>0</v>
      </c>
      <c r="AA46" s="856">
        <f t="shared" si="16"/>
        <v>0</v>
      </c>
      <c r="AB46" s="856">
        <f t="shared" si="17"/>
        <v>0</v>
      </c>
      <c r="AC46" s="856">
        <f t="shared" si="18"/>
        <v>0</v>
      </c>
      <c r="AD46" s="856">
        <f t="shared" si="19"/>
        <v>0</v>
      </c>
      <c r="AE46" s="856">
        <f t="shared" si="20"/>
        <v>0</v>
      </c>
      <c r="AF46" s="855">
        <v>0</v>
      </c>
      <c r="AG46" s="858">
        <f t="shared" si="21"/>
        <v>0</v>
      </c>
      <c r="AH46" s="858">
        <f>0*8</f>
        <v>0</v>
      </c>
      <c r="AI46" s="858">
        <f t="shared" si="22"/>
        <v>0</v>
      </c>
      <c r="AJ46" s="858">
        <f t="shared" si="23"/>
        <v>0</v>
      </c>
      <c r="AK46" s="859">
        <f t="shared" si="24"/>
        <v>0</v>
      </c>
      <c r="AL46" s="859">
        <f t="shared" si="1"/>
        <v>0</v>
      </c>
      <c r="AM46" s="1517"/>
      <c r="AN46" s="1517">
        <v>0</v>
      </c>
      <c r="AO46" s="1521">
        <f t="shared" si="2"/>
        <v>0</v>
      </c>
    </row>
    <row r="47" spans="1:41" s="795" customFormat="1" ht="16.5" customHeight="1">
      <c r="A47" s="836">
        <v>43</v>
      </c>
      <c r="B47" s="837" t="s">
        <v>218</v>
      </c>
      <c r="C47" s="849">
        <v>5</v>
      </c>
      <c r="D47" s="850">
        <f>'Table 3 Levels 1&amp;2'!AL50*90%</f>
        <v>5366.323998911892</v>
      </c>
      <c r="E47" s="850">
        <f t="shared" si="3"/>
        <v>26831.61999455946</v>
      </c>
      <c r="F47" s="851">
        <f>'Table 4 Level 3'!P48*90%</f>
        <v>517.14899999999989</v>
      </c>
      <c r="G47" s="851">
        <f t="shared" si="4"/>
        <v>2585.7449999999994</v>
      </c>
      <c r="H47" s="851">
        <f t="shared" si="5"/>
        <v>29417.364994559459</v>
      </c>
      <c r="I47" s="851">
        <f>'Oct midyear adj_Connections'!K48</f>
        <v>11766.945997823783</v>
      </c>
      <c r="J47" s="851">
        <f>'Feb midyear adj_Connections'!K48</f>
        <v>-2941.7364994559457</v>
      </c>
      <c r="K47" s="851">
        <f t="shared" si="6"/>
        <v>8825.2094983678362</v>
      </c>
      <c r="L47" s="851">
        <f t="shared" si="7"/>
        <v>38242.574492927291</v>
      </c>
      <c r="M47" s="851">
        <f t="shared" si="8"/>
        <v>-96</v>
      </c>
      <c r="N47" s="852">
        <f t="shared" si="9"/>
        <v>38146.574492927291</v>
      </c>
      <c r="O47" s="852">
        <v>0</v>
      </c>
      <c r="P47" s="853">
        <f t="shared" si="10"/>
        <v>38146.574492927291</v>
      </c>
      <c r="Q47" s="854"/>
      <c r="R47" s="853">
        <f t="shared" si="11"/>
        <v>38146.574492927291</v>
      </c>
      <c r="S47" s="853">
        <f>2445*8</f>
        <v>19560</v>
      </c>
      <c r="T47" s="853">
        <f t="shared" si="12"/>
        <v>18586.574492927291</v>
      </c>
      <c r="U47" s="853">
        <f t="shared" si="13"/>
        <v>4647</v>
      </c>
      <c r="V47" s="856">
        <f>'[11]FY2011-12_Final'!$K50*90%</f>
        <v>4791.6000000000004</v>
      </c>
      <c r="W47" s="856">
        <f t="shared" si="14"/>
        <v>23958</v>
      </c>
      <c r="X47" s="857">
        <f>'Oct midyear adj_Connections'!E48</f>
        <v>2</v>
      </c>
      <c r="Y47" s="856">
        <f t="shared" si="15"/>
        <v>9583.2000000000007</v>
      </c>
      <c r="Z47" s="857">
        <f>'Feb midyear adj_Connections'!E48</f>
        <v>-1</v>
      </c>
      <c r="AA47" s="856">
        <f t="shared" si="16"/>
        <v>-2395.8000000000002</v>
      </c>
      <c r="AB47" s="856">
        <f t="shared" si="17"/>
        <v>7187.4000000000005</v>
      </c>
      <c r="AC47" s="856">
        <f t="shared" si="18"/>
        <v>31145.399999999998</v>
      </c>
      <c r="AD47" s="856">
        <f t="shared" si="19"/>
        <v>-78</v>
      </c>
      <c r="AE47" s="856">
        <f t="shared" si="20"/>
        <v>31067.399999999998</v>
      </c>
      <c r="AF47" s="855">
        <v>0</v>
      </c>
      <c r="AG47" s="858">
        <f t="shared" si="21"/>
        <v>31067.399999999998</v>
      </c>
      <c r="AH47" s="858">
        <f>1305*8</f>
        <v>10440</v>
      </c>
      <c r="AI47" s="858">
        <f t="shared" si="22"/>
        <v>20627.399999999998</v>
      </c>
      <c r="AJ47" s="858">
        <f t="shared" si="23"/>
        <v>5157</v>
      </c>
      <c r="AK47" s="859">
        <f t="shared" si="24"/>
        <v>69213.974492927286</v>
      </c>
      <c r="AL47" s="859">
        <f t="shared" si="1"/>
        <v>9804</v>
      </c>
      <c r="AM47" s="1517"/>
      <c r="AN47" s="1517">
        <v>-39</v>
      </c>
      <c r="AO47" s="1521">
        <f t="shared" si="2"/>
        <v>-39</v>
      </c>
    </row>
    <row r="48" spans="1:41" s="795" customFormat="1" ht="16.5" customHeight="1">
      <c r="A48" s="836">
        <v>44</v>
      </c>
      <c r="B48" s="837" t="s">
        <v>219</v>
      </c>
      <c r="C48" s="849">
        <v>5</v>
      </c>
      <c r="D48" s="850">
        <f>'Table 3 Levels 1&amp;2'!AL51*90%</f>
        <v>3921.5191182073468</v>
      </c>
      <c r="E48" s="850">
        <f t="shared" si="3"/>
        <v>19607.595591036734</v>
      </c>
      <c r="F48" s="851">
        <f>'Table 4 Level 3'!P49*90%</f>
        <v>596.84400000000005</v>
      </c>
      <c r="G48" s="851">
        <f t="shared" si="4"/>
        <v>2984.2200000000003</v>
      </c>
      <c r="H48" s="851">
        <f t="shared" si="5"/>
        <v>22591.815591036735</v>
      </c>
      <c r="I48" s="851">
        <f>'Oct midyear adj_Connections'!K49</f>
        <v>0</v>
      </c>
      <c r="J48" s="851">
        <f>'Feb midyear adj_Connections'!K49</f>
        <v>-2259.1815591036734</v>
      </c>
      <c r="K48" s="851">
        <f t="shared" si="6"/>
        <v>-2259.1815591036734</v>
      </c>
      <c r="L48" s="851">
        <f t="shared" si="7"/>
        <v>20332.634031933063</v>
      </c>
      <c r="M48" s="851">
        <f t="shared" si="8"/>
        <v>-51</v>
      </c>
      <c r="N48" s="852">
        <f t="shared" si="9"/>
        <v>20281.634031933063</v>
      </c>
      <c r="O48" s="852">
        <v>0</v>
      </c>
      <c r="P48" s="853">
        <f t="shared" si="10"/>
        <v>20281.634031933063</v>
      </c>
      <c r="Q48" s="854"/>
      <c r="R48" s="853">
        <f t="shared" si="11"/>
        <v>20281.634031933063</v>
      </c>
      <c r="S48" s="853">
        <f>1878*8</f>
        <v>15024</v>
      </c>
      <c r="T48" s="853">
        <f t="shared" si="12"/>
        <v>5257.6340319330629</v>
      </c>
      <c r="U48" s="853">
        <f t="shared" si="13"/>
        <v>1314</v>
      </c>
      <c r="V48" s="856">
        <f>'[11]FY2011-12_Final'!$K51*90%</f>
        <v>4655.7</v>
      </c>
      <c r="W48" s="856">
        <f t="shared" si="14"/>
        <v>23278.5</v>
      </c>
      <c r="X48" s="857">
        <f>'Oct midyear adj_Connections'!E49</f>
        <v>0</v>
      </c>
      <c r="Y48" s="856">
        <f t="shared" si="15"/>
        <v>0</v>
      </c>
      <c r="Z48" s="857">
        <f>'Feb midyear adj_Connections'!E49</f>
        <v>-1</v>
      </c>
      <c r="AA48" s="856">
        <f t="shared" si="16"/>
        <v>-2327.85</v>
      </c>
      <c r="AB48" s="856">
        <f t="shared" si="17"/>
        <v>-2327.85</v>
      </c>
      <c r="AC48" s="856">
        <f t="shared" si="18"/>
        <v>20950.650000000001</v>
      </c>
      <c r="AD48" s="856">
        <f t="shared" si="19"/>
        <v>-52</v>
      </c>
      <c r="AE48" s="856">
        <f t="shared" si="20"/>
        <v>20898.650000000001</v>
      </c>
      <c r="AF48" s="855">
        <v>0</v>
      </c>
      <c r="AG48" s="858">
        <f t="shared" si="21"/>
        <v>20898.650000000001</v>
      </c>
      <c r="AH48" s="858">
        <f>1831*8</f>
        <v>14648</v>
      </c>
      <c r="AI48" s="858">
        <f t="shared" si="22"/>
        <v>6250.6500000000015</v>
      </c>
      <c r="AJ48" s="858">
        <f t="shared" si="23"/>
        <v>1563</v>
      </c>
      <c r="AK48" s="859">
        <f t="shared" si="24"/>
        <v>41180.284031933064</v>
      </c>
      <c r="AL48" s="859">
        <f t="shared" si="1"/>
        <v>2877</v>
      </c>
      <c r="AM48" s="1517"/>
      <c r="AN48" s="1517">
        <v>-55</v>
      </c>
      <c r="AO48" s="1521">
        <f t="shared" si="2"/>
        <v>3</v>
      </c>
    </row>
    <row r="49" spans="1:41" s="795" customFormat="1" ht="16.5" customHeight="1">
      <c r="A49" s="860">
        <v>45</v>
      </c>
      <c r="B49" s="861" t="s">
        <v>220</v>
      </c>
      <c r="C49" s="862">
        <v>5</v>
      </c>
      <c r="D49" s="863">
        <f>'Table 3 Levels 1&amp;2'!AL52*90%</f>
        <v>2187.4313891834572</v>
      </c>
      <c r="E49" s="863">
        <f t="shared" si="3"/>
        <v>10937.156945917286</v>
      </c>
      <c r="F49" s="864">
        <f>'Table 4 Level 3'!P50*90%</f>
        <v>678.56400000000019</v>
      </c>
      <c r="G49" s="864">
        <f t="shared" si="4"/>
        <v>3392.8200000000011</v>
      </c>
      <c r="H49" s="864">
        <f t="shared" si="5"/>
        <v>14329.976945917288</v>
      </c>
      <c r="I49" s="864">
        <f>'Oct midyear adj_Connections'!K50</f>
        <v>0</v>
      </c>
      <c r="J49" s="864">
        <f>'Feb midyear adj_Connections'!K50</f>
        <v>1432.9976945917288</v>
      </c>
      <c r="K49" s="864">
        <f t="shared" si="6"/>
        <v>1432.9976945917288</v>
      </c>
      <c r="L49" s="864">
        <f t="shared" si="7"/>
        <v>15762.974640509015</v>
      </c>
      <c r="M49" s="864">
        <f t="shared" si="8"/>
        <v>-39</v>
      </c>
      <c r="N49" s="865">
        <f t="shared" si="9"/>
        <v>15723.974640509015</v>
      </c>
      <c r="O49" s="865">
        <v>0</v>
      </c>
      <c r="P49" s="866">
        <f t="shared" si="10"/>
        <v>15723.974640509015</v>
      </c>
      <c r="Q49" s="867"/>
      <c r="R49" s="866">
        <f t="shared" si="11"/>
        <v>15723.974640509015</v>
      </c>
      <c r="S49" s="866">
        <f>1191*8</f>
        <v>9528</v>
      </c>
      <c r="T49" s="866">
        <f t="shared" si="12"/>
        <v>6195.9746405090154</v>
      </c>
      <c r="U49" s="866">
        <f t="shared" si="13"/>
        <v>1549</v>
      </c>
      <c r="V49" s="869">
        <f>'[11]FY2011-12_Final'!$K52*90%</f>
        <v>9693</v>
      </c>
      <c r="W49" s="869">
        <f t="shared" si="14"/>
        <v>48465</v>
      </c>
      <c r="X49" s="870">
        <f>'Oct midyear adj_Connections'!E50</f>
        <v>0</v>
      </c>
      <c r="Y49" s="869">
        <f t="shared" si="15"/>
        <v>0</v>
      </c>
      <c r="Z49" s="870">
        <f>'Feb midyear adj_Connections'!E50</f>
        <v>1</v>
      </c>
      <c r="AA49" s="869">
        <f t="shared" si="16"/>
        <v>4846.5</v>
      </c>
      <c r="AB49" s="869">
        <f t="shared" si="17"/>
        <v>4846.5</v>
      </c>
      <c r="AC49" s="869">
        <f t="shared" si="18"/>
        <v>53311.5</v>
      </c>
      <c r="AD49" s="869">
        <f t="shared" si="19"/>
        <v>-133</v>
      </c>
      <c r="AE49" s="869">
        <f t="shared" si="20"/>
        <v>53178.5</v>
      </c>
      <c r="AF49" s="868">
        <v>0</v>
      </c>
      <c r="AG49" s="871">
        <f t="shared" si="21"/>
        <v>53178.5</v>
      </c>
      <c r="AH49" s="871">
        <f>3885*8</f>
        <v>31080</v>
      </c>
      <c r="AI49" s="871">
        <f t="shared" si="22"/>
        <v>22098.5</v>
      </c>
      <c r="AJ49" s="871">
        <f t="shared" si="23"/>
        <v>5525</v>
      </c>
      <c r="AK49" s="872">
        <f t="shared" si="24"/>
        <v>68902.474640509012</v>
      </c>
      <c r="AL49" s="872">
        <f t="shared" si="1"/>
        <v>7074</v>
      </c>
      <c r="AM49" s="1517"/>
      <c r="AN49" s="1517">
        <v>-117</v>
      </c>
      <c r="AO49" s="1521">
        <f t="shared" si="2"/>
        <v>-16</v>
      </c>
    </row>
    <row r="50" spans="1:41" s="795" customFormat="1" ht="16.5" customHeight="1">
      <c r="A50" s="836">
        <v>46</v>
      </c>
      <c r="B50" s="837" t="s">
        <v>78</v>
      </c>
      <c r="C50" s="838">
        <v>0</v>
      </c>
      <c r="D50" s="839">
        <f>'Table 3 Levels 1&amp;2'!AL53*90%</f>
        <v>5221.8999089820491</v>
      </c>
      <c r="E50" s="839">
        <f t="shared" si="3"/>
        <v>0</v>
      </c>
      <c r="F50" s="840">
        <f>'Table 4 Level 3'!P51*90%</f>
        <v>655.25400000000002</v>
      </c>
      <c r="G50" s="840">
        <f t="shared" si="4"/>
        <v>0</v>
      </c>
      <c r="H50" s="840">
        <f t="shared" si="5"/>
        <v>0</v>
      </c>
      <c r="I50" s="840">
        <f>'Oct midyear adj_Connections'!K51</f>
        <v>0</v>
      </c>
      <c r="J50" s="840">
        <f>'Feb midyear adj_Connections'!K51</f>
        <v>0</v>
      </c>
      <c r="K50" s="840">
        <f t="shared" si="6"/>
        <v>0</v>
      </c>
      <c r="L50" s="840">
        <f t="shared" si="7"/>
        <v>0</v>
      </c>
      <c r="M50" s="840">
        <f t="shared" si="8"/>
        <v>0</v>
      </c>
      <c r="N50" s="841">
        <f t="shared" si="9"/>
        <v>0</v>
      </c>
      <c r="O50" s="841">
        <v>0</v>
      </c>
      <c r="P50" s="842">
        <f t="shared" si="10"/>
        <v>0</v>
      </c>
      <c r="Q50" s="843"/>
      <c r="R50" s="842">
        <f t="shared" si="11"/>
        <v>0</v>
      </c>
      <c r="S50" s="842">
        <f>0*8</f>
        <v>0</v>
      </c>
      <c r="T50" s="842">
        <f t="shared" si="12"/>
        <v>0</v>
      </c>
      <c r="U50" s="842">
        <f t="shared" si="13"/>
        <v>0</v>
      </c>
      <c r="V50" s="845">
        <f>'[11]FY2011-12_Final'!$K53*90%</f>
        <v>1589.4</v>
      </c>
      <c r="W50" s="845">
        <f t="shared" si="14"/>
        <v>0</v>
      </c>
      <c r="X50" s="846">
        <f>'Oct midyear adj_Connections'!E51</f>
        <v>0</v>
      </c>
      <c r="Y50" s="845">
        <f t="shared" si="15"/>
        <v>0</v>
      </c>
      <c r="Z50" s="846">
        <f>'Feb midyear adj_Connections'!E51</f>
        <v>0</v>
      </c>
      <c r="AA50" s="845">
        <f t="shared" si="16"/>
        <v>0</v>
      </c>
      <c r="AB50" s="845">
        <f t="shared" si="17"/>
        <v>0</v>
      </c>
      <c r="AC50" s="845">
        <f t="shared" si="18"/>
        <v>0</v>
      </c>
      <c r="AD50" s="845">
        <f t="shared" si="19"/>
        <v>0</v>
      </c>
      <c r="AE50" s="845">
        <f t="shared" si="20"/>
        <v>0</v>
      </c>
      <c r="AF50" s="844">
        <v>0</v>
      </c>
      <c r="AG50" s="847">
        <f t="shared" si="21"/>
        <v>0</v>
      </c>
      <c r="AH50" s="847">
        <f>0*8</f>
        <v>0</v>
      </c>
      <c r="AI50" s="847">
        <f t="shared" si="22"/>
        <v>0</v>
      </c>
      <c r="AJ50" s="847">
        <f t="shared" si="23"/>
        <v>0</v>
      </c>
      <c r="AK50" s="848">
        <f t="shared" si="24"/>
        <v>0</v>
      </c>
      <c r="AL50" s="848">
        <f t="shared" si="1"/>
        <v>0</v>
      </c>
      <c r="AM50" s="1517"/>
      <c r="AN50" s="1517">
        <v>0</v>
      </c>
      <c r="AO50" s="1521">
        <f t="shared" si="2"/>
        <v>0</v>
      </c>
    </row>
    <row r="51" spans="1:41" s="795" customFormat="1" ht="16.5" customHeight="1">
      <c r="A51" s="836">
        <v>47</v>
      </c>
      <c r="B51" s="837" t="s">
        <v>221</v>
      </c>
      <c r="C51" s="849">
        <v>0</v>
      </c>
      <c r="D51" s="850">
        <f>'Table 3 Levels 1&amp;2'!AL54*90%</f>
        <v>3098.1307624872338</v>
      </c>
      <c r="E51" s="850">
        <f t="shared" si="3"/>
        <v>0</v>
      </c>
      <c r="F51" s="851">
        <f>'Table 4 Level 3'!P52*90%</f>
        <v>819.68399999999997</v>
      </c>
      <c r="G51" s="851">
        <f t="shared" si="4"/>
        <v>0</v>
      </c>
      <c r="H51" s="851">
        <f t="shared" si="5"/>
        <v>0</v>
      </c>
      <c r="I51" s="851">
        <f>'Oct midyear adj_Connections'!K52</f>
        <v>0</v>
      </c>
      <c r="J51" s="851">
        <f>'Feb midyear adj_Connections'!K52</f>
        <v>0</v>
      </c>
      <c r="K51" s="851">
        <f t="shared" si="6"/>
        <v>0</v>
      </c>
      <c r="L51" s="851">
        <f t="shared" si="7"/>
        <v>0</v>
      </c>
      <c r="M51" s="851">
        <f t="shared" si="8"/>
        <v>0</v>
      </c>
      <c r="N51" s="852">
        <f t="shared" si="9"/>
        <v>0</v>
      </c>
      <c r="O51" s="852">
        <v>0</v>
      </c>
      <c r="P51" s="853">
        <f t="shared" si="10"/>
        <v>0</v>
      </c>
      <c r="Q51" s="854"/>
      <c r="R51" s="853">
        <f t="shared" si="11"/>
        <v>0</v>
      </c>
      <c r="S51" s="853">
        <f>0*8</f>
        <v>0</v>
      </c>
      <c r="T51" s="853">
        <f t="shared" si="12"/>
        <v>0</v>
      </c>
      <c r="U51" s="853">
        <f t="shared" si="13"/>
        <v>0</v>
      </c>
      <c r="V51" s="856">
        <f>'[11]FY2011-12_Final'!$K54*90%</f>
        <v>8779.5</v>
      </c>
      <c r="W51" s="856">
        <f t="shared" si="14"/>
        <v>0</v>
      </c>
      <c r="X51" s="857">
        <f>'Oct midyear adj_Connections'!E52</f>
        <v>0</v>
      </c>
      <c r="Y51" s="856">
        <f t="shared" si="15"/>
        <v>0</v>
      </c>
      <c r="Z51" s="857">
        <f>'Feb midyear adj_Connections'!E52</f>
        <v>0</v>
      </c>
      <c r="AA51" s="856">
        <f t="shared" si="16"/>
        <v>0</v>
      </c>
      <c r="AB51" s="856">
        <f t="shared" si="17"/>
        <v>0</v>
      </c>
      <c r="AC51" s="856">
        <f t="shared" si="18"/>
        <v>0</v>
      </c>
      <c r="AD51" s="856">
        <f t="shared" si="19"/>
        <v>0</v>
      </c>
      <c r="AE51" s="856">
        <f t="shared" si="20"/>
        <v>0</v>
      </c>
      <c r="AF51" s="855">
        <v>0</v>
      </c>
      <c r="AG51" s="858">
        <f t="shared" si="21"/>
        <v>0</v>
      </c>
      <c r="AH51" s="858">
        <f>0*8</f>
        <v>0</v>
      </c>
      <c r="AI51" s="858">
        <f t="shared" si="22"/>
        <v>0</v>
      </c>
      <c r="AJ51" s="858">
        <f t="shared" si="23"/>
        <v>0</v>
      </c>
      <c r="AK51" s="859">
        <f t="shared" si="24"/>
        <v>0</v>
      </c>
      <c r="AL51" s="859">
        <f t="shared" si="1"/>
        <v>0</v>
      </c>
      <c r="AM51" s="1517"/>
      <c r="AN51" s="1517">
        <v>0</v>
      </c>
      <c r="AO51" s="1521">
        <f t="shared" si="2"/>
        <v>0</v>
      </c>
    </row>
    <row r="52" spans="1:41" s="795" customFormat="1" ht="16.5" customHeight="1">
      <c r="A52" s="836">
        <v>48</v>
      </c>
      <c r="B52" s="837" t="s">
        <v>222</v>
      </c>
      <c r="C52" s="849">
        <v>3</v>
      </c>
      <c r="D52" s="850">
        <f>'Table 3 Levels 1&amp;2'!AL55*90%</f>
        <v>3116.6706997342021</v>
      </c>
      <c r="E52" s="850">
        <f t="shared" si="3"/>
        <v>9350.0120992026059</v>
      </c>
      <c r="F52" s="851">
        <f>'Table 4 Level 3'!P53*90%</f>
        <v>783.96300000000008</v>
      </c>
      <c r="G52" s="851">
        <f t="shared" si="4"/>
        <v>2351.8890000000001</v>
      </c>
      <c r="H52" s="851">
        <f t="shared" si="5"/>
        <v>11701.901099202605</v>
      </c>
      <c r="I52" s="851">
        <f>'Oct midyear adj_Connections'!K53</f>
        <v>0</v>
      </c>
      <c r="J52" s="851">
        <f>'Feb midyear adj_Connections'!K53</f>
        <v>0</v>
      </c>
      <c r="K52" s="851">
        <f t="shared" si="6"/>
        <v>0</v>
      </c>
      <c r="L52" s="851">
        <f t="shared" si="7"/>
        <v>11701.901099202605</v>
      </c>
      <c r="M52" s="851">
        <f t="shared" si="8"/>
        <v>-29</v>
      </c>
      <c r="N52" s="852">
        <f t="shared" si="9"/>
        <v>11672.901099202605</v>
      </c>
      <c r="O52" s="852">
        <v>0</v>
      </c>
      <c r="P52" s="853">
        <f t="shared" si="10"/>
        <v>11672.901099202605</v>
      </c>
      <c r="Q52" s="854"/>
      <c r="R52" s="853">
        <f t="shared" si="11"/>
        <v>11672.901099202605</v>
      </c>
      <c r="S52" s="853">
        <f>973*8</f>
        <v>7784</v>
      </c>
      <c r="T52" s="853">
        <f t="shared" si="12"/>
        <v>3888.9010992026051</v>
      </c>
      <c r="U52" s="853">
        <f t="shared" si="13"/>
        <v>972</v>
      </c>
      <c r="V52" s="856">
        <f>'[11]FY2011-12_Final'!$K55*90%</f>
        <v>4622.4000000000005</v>
      </c>
      <c r="W52" s="856">
        <f t="shared" si="14"/>
        <v>13867.2</v>
      </c>
      <c r="X52" s="857">
        <f>'Oct midyear adj_Connections'!E53</f>
        <v>0</v>
      </c>
      <c r="Y52" s="856">
        <f t="shared" si="15"/>
        <v>0</v>
      </c>
      <c r="Z52" s="857">
        <f>'Feb midyear adj_Connections'!E53</f>
        <v>0</v>
      </c>
      <c r="AA52" s="856">
        <f t="shared" si="16"/>
        <v>0</v>
      </c>
      <c r="AB52" s="856">
        <f t="shared" si="17"/>
        <v>0</v>
      </c>
      <c r="AC52" s="856">
        <f t="shared" si="18"/>
        <v>13867.2</v>
      </c>
      <c r="AD52" s="856">
        <f t="shared" si="19"/>
        <v>-35</v>
      </c>
      <c r="AE52" s="856">
        <f t="shared" si="20"/>
        <v>13832.2</v>
      </c>
      <c r="AF52" s="855">
        <v>0</v>
      </c>
      <c r="AG52" s="858">
        <f t="shared" si="21"/>
        <v>13832.2</v>
      </c>
      <c r="AH52" s="858">
        <f>1183*8</f>
        <v>9464</v>
      </c>
      <c r="AI52" s="858">
        <f t="shared" si="22"/>
        <v>4368.2000000000007</v>
      </c>
      <c r="AJ52" s="858">
        <f t="shared" si="23"/>
        <v>1092</v>
      </c>
      <c r="AK52" s="859">
        <f t="shared" si="24"/>
        <v>25505.101099202606</v>
      </c>
      <c r="AL52" s="859">
        <f t="shared" si="1"/>
        <v>2064</v>
      </c>
      <c r="AM52" s="1517"/>
      <c r="AN52" s="1517">
        <v>-36</v>
      </c>
      <c r="AO52" s="1521">
        <f t="shared" si="2"/>
        <v>1</v>
      </c>
    </row>
    <row r="53" spans="1:41" s="795" customFormat="1" ht="16.5" customHeight="1">
      <c r="A53" s="836">
        <v>49</v>
      </c>
      <c r="B53" s="837" t="s">
        <v>223</v>
      </c>
      <c r="C53" s="849">
        <v>9</v>
      </c>
      <c r="D53" s="850">
        <f>'Table 3 Levels 1&amp;2'!AL56*90%</f>
        <v>4382.8223958618019</v>
      </c>
      <c r="E53" s="850">
        <f t="shared" si="3"/>
        <v>39445.401562756218</v>
      </c>
      <c r="F53" s="851">
        <f>'Table 4 Level 3'!P54*90%</f>
        <v>516.99599999999998</v>
      </c>
      <c r="G53" s="851">
        <f t="shared" si="4"/>
        <v>4652.9639999999999</v>
      </c>
      <c r="H53" s="851">
        <f t="shared" si="5"/>
        <v>44098.365562756218</v>
      </c>
      <c r="I53" s="851">
        <f>'Oct midyear adj_Connections'!K54</f>
        <v>-4899.8183958618019</v>
      </c>
      <c r="J53" s="851">
        <f>'Feb midyear adj_Connections'!K54</f>
        <v>7349.7275937927025</v>
      </c>
      <c r="K53" s="851">
        <f t="shared" si="6"/>
        <v>2449.9091979309005</v>
      </c>
      <c r="L53" s="851">
        <f t="shared" si="7"/>
        <v>46548.27476068712</v>
      </c>
      <c r="M53" s="851">
        <f t="shared" si="8"/>
        <v>-116</v>
      </c>
      <c r="N53" s="852">
        <f t="shared" si="9"/>
        <v>46432.27476068712</v>
      </c>
      <c r="O53" s="852">
        <v>0</v>
      </c>
      <c r="P53" s="853">
        <f t="shared" si="10"/>
        <v>46432.27476068712</v>
      </c>
      <c r="Q53" s="854"/>
      <c r="R53" s="853">
        <f t="shared" si="11"/>
        <v>46432.27476068712</v>
      </c>
      <c r="S53" s="853">
        <f>3666*8</f>
        <v>29328</v>
      </c>
      <c r="T53" s="853">
        <f t="shared" si="12"/>
        <v>17104.27476068712</v>
      </c>
      <c r="U53" s="853">
        <f t="shared" si="13"/>
        <v>4276</v>
      </c>
      <c r="V53" s="856">
        <f>'[11]FY2011-12_Final'!$K56*90%</f>
        <v>2011.5</v>
      </c>
      <c r="W53" s="856">
        <f t="shared" si="14"/>
        <v>18103.5</v>
      </c>
      <c r="X53" s="857">
        <f>'Oct midyear adj_Connections'!E54</f>
        <v>-1</v>
      </c>
      <c r="Y53" s="856">
        <f t="shared" si="15"/>
        <v>-2011.5</v>
      </c>
      <c r="Z53" s="857">
        <f>'Feb midyear adj_Connections'!E54</f>
        <v>3</v>
      </c>
      <c r="AA53" s="856">
        <f t="shared" si="16"/>
        <v>3017.25</v>
      </c>
      <c r="AB53" s="856">
        <f t="shared" si="17"/>
        <v>1005.75</v>
      </c>
      <c r="AC53" s="856">
        <f t="shared" si="18"/>
        <v>19109.25</v>
      </c>
      <c r="AD53" s="856">
        <f t="shared" si="19"/>
        <v>-48</v>
      </c>
      <c r="AE53" s="856">
        <f t="shared" si="20"/>
        <v>19061.25</v>
      </c>
      <c r="AF53" s="855">
        <v>0</v>
      </c>
      <c r="AG53" s="858">
        <f t="shared" si="21"/>
        <v>19061.25</v>
      </c>
      <c r="AH53" s="858">
        <f>1466*8</f>
        <v>11728</v>
      </c>
      <c r="AI53" s="858">
        <f t="shared" si="22"/>
        <v>7333.25</v>
      </c>
      <c r="AJ53" s="858">
        <f t="shared" si="23"/>
        <v>1833</v>
      </c>
      <c r="AK53" s="859">
        <f t="shared" si="24"/>
        <v>65493.52476068712</v>
      </c>
      <c r="AL53" s="859">
        <f t="shared" si="1"/>
        <v>6109</v>
      </c>
      <c r="AM53" s="1517"/>
      <c r="AN53" s="1517">
        <v>-44</v>
      </c>
      <c r="AO53" s="1521">
        <f t="shared" si="2"/>
        <v>-4</v>
      </c>
    </row>
    <row r="54" spans="1:41" s="795" customFormat="1" ht="16.5" customHeight="1">
      <c r="A54" s="860">
        <v>50</v>
      </c>
      <c r="B54" s="861" t="s">
        <v>224</v>
      </c>
      <c r="C54" s="862">
        <v>11</v>
      </c>
      <c r="D54" s="863">
        <f>'Table 3 Levels 1&amp;2'!AL57*90%</f>
        <v>4559.7314595568487</v>
      </c>
      <c r="E54" s="863">
        <f t="shared" si="3"/>
        <v>50157.046055125335</v>
      </c>
      <c r="F54" s="864">
        <f>'Table 4 Level 3'!P55*90%</f>
        <v>571.01400000000001</v>
      </c>
      <c r="G54" s="864">
        <f t="shared" si="4"/>
        <v>6281.1540000000005</v>
      </c>
      <c r="H54" s="864">
        <f t="shared" si="5"/>
        <v>56438.200055125337</v>
      </c>
      <c r="I54" s="864">
        <f>'Oct midyear adj_Connections'!K55</f>
        <v>30784.472757341093</v>
      </c>
      <c r="J54" s="864">
        <f>'Feb midyear adj_Connections'!K55</f>
        <v>-5130.7454595568488</v>
      </c>
      <c r="K54" s="864">
        <f t="shared" si="6"/>
        <v>25653.727297784244</v>
      </c>
      <c r="L54" s="864">
        <f t="shared" si="7"/>
        <v>82091.927352909581</v>
      </c>
      <c r="M54" s="864">
        <f t="shared" si="8"/>
        <v>-205</v>
      </c>
      <c r="N54" s="865">
        <f t="shared" si="9"/>
        <v>81886.927352909581</v>
      </c>
      <c r="O54" s="865">
        <v>0</v>
      </c>
      <c r="P54" s="866">
        <f t="shared" si="10"/>
        <v>81886.927352909581</v>
      </c>
      <c r="Q54" s="867"/>
      <c r="R54" s="866">
        <f t="shared" si="11"/>
        <v>81886.927352909581</v>
      </c>
      <c r="S54" s="866">
        <f>4691*8</f>
        <v>37528</v>
      </c>
      <c r="T54" s="866">
        <f t="shared" si="12"/>
        <v>44358.927352909581</v>
      </c>
      <c r="U54" s="866">
        <f t="shared" si="13"/>
        <v>11090</v>
      </c>
      <c r="V54" s="869">
        <f>'[11]FY2011-12_Final'!$K57*90%</f>
        <v>2280.6</v>
      </c>
      <c r="W54" s="869">
        <f t="shared" si="14"/>
        <v>25086.6</v>
      </c>
      <c r="X54" s="870">
        <f>'Oct midyear adj_Connections'!E55</f>
        <v>6</v>
      </c>
      <c r="Y54" s="869">
        <f t="shared" si="15"/>
        <v>13683.599999999999</v>
      </c>
      <c r="Z54" s="870">
        <f>'Feb midyear adj_Connections'!E55</f>
        <v>-2</v>
      </c>
      <c r="AA54" s="869">
        <f t="shared" si="16"/>
        <v>-2280.6</v>
      </c>
      <c r="AB54" s="869">
        <f t="shared" si="17"/>
        <v>11402.999999999998</v>
      </c>
      <c r="AC54" s="869">
        <f t="shared" si="18"/>
        <v>36489.599999999999</v>
      </c>
      <c r="AD54" s="869">
        <f t="shared" si="19"/>
        <v>-91</v>
      </c>
      <c r="AE54" s="869">
        <f t="shared" si="20"/>
        <v>36398.6</v>
      </c>
      <c r="AF54" s="868">
        <v>0</v>
      </c>
      <c r="AG54" s="871">
        <f t="shared" si="21"/>
        <v>36398.6</v>
      </c>
      <c r="AH54" s="871">
        <f>1986*8</f>
        <v>15888</v>
      </c>
      <c r="AI54" s="871">
        <f t="shared" si="22"/>
        <v>20510.599999999999</v>
      </c>
      <c r="AJ54" s="871">
        <f t="shared" si="23"/>
        <v>5128</v>
      </c>
      <c r="AK54" s="872">
        <f t="shared" si="24"/>
        <v>118285.52735290959</v>
      </c>
      <c r="AL54" s="872">
        <f t="shared" si="1"/>
        <v>16218</v>
      </c>
      <c r="AM54" s="1517"/>
      <c r="AN54" s="1517">
        <v>-60</v>
      </c>
      <c r="AO54" s="1521">
        <f t="shared" si="2"/>
        <v>-31</v>
      </c>
    </row>
    <row r="55" spans="1:41" s="795" customFormat="1" ht="16.5" customHeight="1">
      <c r="A55" s="836">
        <v>51</v>
      </c>
      <c r="B55" s="837" t="s">
        <v>225</v>
      </c>
      <c r="C55" s="838">
        <v>5</v>
      </c>
      <c r="D55" s="839">
        <f>'Table 3 Levels 1&amp;2'!AL58*90%</f>
        <v>4084.7188881585589</v>
      </c>
      <c r="E55" s="839">
        <f t="shared" si="3"/>
        <v>20423.594440792796</v>
      </c>
      <c r="F55" s="840">
        <f>'Table 4 Level 3'!P56*90%</f>
        <v>635.99400000000003</v>
      </c>
      <c r="G55" s="840">
        <f t="shared" si="4"/>
        <v>3179.9700000000003</v>
      </c>
      <c r="H55" s="840">
        <f t="shared" si="5"/>
        <v>23603.564440792798</v>
      </c>
      <c r="I55" s="840">
        <f>'Oct midyear adj_Connections'!K56</f>
        <v>-4720.7128881585586</v>
      </c>
      <c r="J55" s="840">
        <f>'Feb midyear adj_Connections'!K56</f>
        <v>4720.7128881585586</v>
      </c>
      <c r="K55" s="840">
        <f t="shared" si="6"/>
        <v>0</v>
      </c>
      <c r="L55" s="840">
        <f t="shared" si="7"/>
        <v>23603.564440792798</v>
      </c>
      <c r="M55" s="840">
        <f t="shared" si="8"/>
        <v>-59</v>
      </c>
      <c r="N55" s="841">
        <f t="shared" si="9"/>
        <v>23544.564440792798</v>
      </c>
      <c r="O55" s="841">
        <v>0</v>
      </c>
      <c r="P55" s="842">
        <f t="shared" si="10"/>
        <v>23544.564440792798</v>
      </c>
      <c r="Q55" s="843"/>
      <c r="R55" s="842">
        <f t="shared" si="11"/>
        <v>23544.564440792798</v>
      </c>
      <c r="S55" s="842">
        <f>1962*8</f>
        <v>15696</v>
      </c>
      <c r="T55" s="842">
        <f t="shared" si="12"/>
        <v>7848.5644407927975</v>
      </c>
      <c r="U55" s="842">
        <f t="shared" si="13"/>
        <v>1962</v>
      </c>
      <c r="V55" s="845">
        <f>'[11]FY2011-12_Final'!$K58*90%</f>
        <v>3637.8</v>
      </c>
      <c r="W55" s="845">
        <f t="shared" si="14"/>
        <v>18189</v>
      </c>
      <c r="X55" s="846">
        <f>'Oct midyear adj_Connections'!E56</f>
        <v>-1</v>
      </c>
      <c r="Y55" s="845">
        <f t="shared" si="15"/>
        <v>-3637.8</v>
      </c>
      <c r="Z55" s="846">
        <f>'Feb midyear adj_Connections'!E56</f>
        <v>2</v>
      </c>
      <c r="AA55" s="845">
        <f t="shared" si="16"/>
        <v>3637.8</v>
      </c>
      <c r="AB55" s="845">
        <f t="shared" si="17"/>
        <v>0</v>
      </c>
      <c r="AC55" s="845">
        <f t="shared" si="18"/>
        <v>18189</v>
      </c>
      <c r="AD55" s="845">
        <f t="shared" si="19"/>
        <v>-45</v>
      </c>
      <c r="AE55" s="845">
        <f t="shared" si="20"/>
        <v>18144</v>
      </c>
      <c r="AF55" s="844">
        <v>0</v>
      </c>
      <c r="AG55" s="847">
        <f t="shared" si="21"/>
        <v>18144</v>
      </c>
      <c r="AH55" s="847">
        <f>1479*8</f>
        <v>11832</v>
      </c>
      <c r="AI55" s="847">
        <f t="shared" si="22"/>
        <v>6312</v>
      </c>
      <c r="AJ55" s="847">
        <f t="shared" si="23"/>
        <v>1578</v>
      </c>
      <c r="AK55" s="848">
        <f t="shared" si="24"/>
        <v>41688.564440792798</v>
      </c>
      <c r="AL55" s="848">
        <f t="shared" si="1"/>
        <v>3540</v>
      </c>
      <c r="AM55" s="1517"/>
      <c r="AN55" s="1517">
        <v>-44</v>
      </c>
      <c r="AO55" s="1521">
        <f t="shared" si="2"/>
        <v>-1</v>
      </c>
    </row>
    <row r="56" spans="1:41" s="795" customFormat="1" ht="16.5" customHeight="1">
      <c r="A56" s="836">
        <v>52</v>
      </c>
      <c r="B56" s="837" t="s">
        <v>226</v>
      </c>
      <c r="C56" s="849">
        <v>47</v>
      </c>
      <c r="D56" s="850">
        <f>'Table 3 Levels 1&amp;2'!AL59*90%</f>
        <v>4487.571353437329</v>
      </c>
      <c r="E56" s="850">
        <f t="shared" si="3"/>
        <v>210915.85361155446</v>
      </c>
      <c r="F56" s="851">
        <f>'Table 4 Level 3'!P57*90%</f>
        <v>592.53300000000002</v>
      </c>
      <c r="G56" s="851">
        <f t="shared" si="4"/>
        <v>27849.050999999999</v>
      </c>
      <c r="H56" s="851">
        <f t="shared" si="5"/>
        <v>238764.90461155446</v>
      </c>
      <c r="I56" s="851">
        <f>'Oct midyear adj_Connections'!K57</f>
        <v>-5080.1043534373293</v>
      </c>
      <c r="J56" s="851">
        <f>'Feb midyear adj_Connections'!K57</f>
        <v>12700.260883593324</v>
      </c>
      <c r="K56" s="851">
        <f t="shared" si="6"/>
        <v>7620.1565301559949</v>
      </c>
      <c r="L56" s="851">
        <f t="shared" si="7"/>
        <v>246385.06114171047</v>
      </c>
      <c r="M56" s="851">
        <f t="shared" si="8"/>
        <v>-616</v>
      </c>
      <c r="N56" s="852">
        <f t="shared" si="9"/>
        <v>245769.06114171047</v>
      </c>
      <c r="O56" s="852">
        <v>0</v>
      </c>
      <c r="P56" s="853">
        <f t="shared" si="10"/>
        <v>245769.06114171047</v>
      </c>
      <c r="Q56" s="854"/>
      <c r="R56" s="853">
        <f t="shared" si="11"/>
        <v>245769.06114171047</v>
      </c>
      <c r="S56" s="853">
        <f>19847*8</f>
        <v>158776</v>
      </c>
      <c r="T56" s="853">
        <f t="shared" si="12"/>
        <v>86993.061141710466</v>
      </c>
      <c r="U56" s="853">
        <f t="shared" si="13"/>
        <v>21748</v>
      </c>
      <c r="V56" s="856">
        <f>'[11]FY2011-12_Final'!$K59*90%</f>
        <v>4339.8</v>
      </c>
      <c r="W56" s="856">
        <f t="shared" si="14"/>
        <v>203970.6</v>
      </c>
      <c r="X56" s="857">
        <f>'Oct midyear adj_Connections'!E57</f>
        <v>-1</v>
      </c>
      <c r="Y56" s="856">
        <f t="shared" si="15"/>
        <v>-4339.8</v>
      </c>
      <c r="Z56" s="857">
        <f>'Feb midyear adj_Connections'!E57</f>
        <v>5</v>
      </c>
      <c r="AA56" s="856">
        <f t="shared" si="16"/>
        <v>10849.5</v>
      </c>
      <c r="AB56" s="856">
        <f t="shared" si="17"/>
        <v>6509.7</v>
      </c>
      <c r="AC56" s="856">
        <f t="shared" si="18"/>
        <v>210480.30000000002</v>
      </c>
      <c r="AD56" s="856">
        <f t="shared" si="19"/>
        <v>-526</v>
      </c>
      <c r="AE56" s="856">
        <f t="shared" si="20"/>
        <v>209954.30000000002</v>
      </c>
      <c r="AF56" s="855">
        <v>0</v>
      </c>
      <c r="AG56" s="858">
        <f t="shared" si="21"/>
        <v>209954.30000000002</v>
      </c>
      <c r="AH56" s="858">
        <f>17057*8</f>
        <v>136456</v>
      </c>
      <c r="AI56" s="858">
        <f t="shared" si="22"/>
        <v>73498.300000000017</v>
      </c>
      <c r="AJ56" s="858">
        <f t="shared" si="23"/>
        <v>18375</v>
      </c>
      <c r="AK56" s="859">
        <f t="shared" si="24"/>
        <v>455723.36114171048</v>
      </c>
      <c r="AL56" s="859">
        <f t="shared" si="1"/>
        <v>40123</v>
      </c>
      <c r="AM56" s="1517"/>
      <c r="AN56" s="1517">
        <v>-513</v>
      </c>
      <c r="AO56" s="1521">
        <f t="shared" si="2"/>
        <v>-13</v>
      </c>
    </row>
    <row r="57" spans="1:41" s="795" customFormat="1" ht="16.5" customHeight="1">
      <c r="A57" s="836">
        <v>53</v>
      </c>
      <c r="B57" s="837" t="s">
        <v>227</v>
      </c>
      <c r="C57" s="849">
        <v>30</v>
      </c>
      <c r="D57" s="850">
        <f>'Table 3 Levels 1&amp;2'!AL60*90%</f>
        <v>4270.7827013792439</v>
      </c>
      <c r="E57" s="850">
        <f t="shared" si="3"/>
        <v>128123.48104137732</v>
      </c>
      <c r="F57" s="851">
        <f>'Table 4 Level 3'!P58*90%</f>
        <v>620.76600000000008</v>
      </c>
      <c r="G57" s="851">
        <f t="shared" si="4"/>
        <v>18622.980000000003</v>
      </c>
      <c r="H57" s="851">
        <f t="shared" si="5"/>
        <v>146746.46104137733</v>
      </c>
      <c r="I57" s="851">
        <f>'Oct midyear adj_Connections'!K58</f>
        <v>-48915.487013792444</v>
      </c>
      <c r="J57" s="851">
        <f>'Feb midyear adj_Connections'!K58</f>
        <v>14674.646104137733</v>
      </c>
      <c r="K57" s="851">
        <f t="shared" si="6"/>
        <v>-34240.840909654711</v>
      </c>
      <c r="L57" s="851">
        <f t="shared" si="7"/>
        <v>112505.62013172262</v>
      </c>
      <c r="M57" s="851">
        <f t="shared" si="8"/>
        <v>-281</v>
      </c>
      <c r="N57" s="852">
        <f t="shared" si="9"/>
        <v>112224.62013172262</v>
      </c>
      <c r="O57" s="852">
        <v>0</v>
      </c>
      <c r="P57" s="853">
        <f t="shared" si="10"/>
        <v>112224.62013172262</v>
      </c>
      <c r="Q57" s="854"/>
      <c r="R57" s="853">
        <f t="shared" si="11"/>
        <v>112224.62013172262</v>
      </c>
      <c r="S57" s="853">
        <f>12198*8</f>
        <v>97584</v>
      </c>
      <c r="T57" s="853">
        <f t="shared" si="12"/>
        <v>14640.620131722622</v>
      </c>
      <c r="U57" s="853">
        <f t="shared" si="13"/>
        <v>3660</v>
      </c>
      <c r="V57" s="856">
        <f>'[11]FY2011-12_Final'!$K60*90%</f>
        <v>1726.2</v>
      </c>
      <c r="W57" s="856">
        <f t="shared" si="14"/>
        <v>51786</v>
      </c>
      <c r="X57" s="857">
        <f>'Oct midyear adj_Connections'!E58</f>
        <v>-10</v>
      </c>
      <c r="Y57" s="856">
        <f t="shared" si="15"/>
        <v>-17262</v>
      </c>
      <c r="Z57" s="857">
        <f>'Feb midyear adj_Connections'!E58</f>
        <v>6</v>
      </c>
      <c r="AA57" s="856">
        <f t="shared" si="16"/>
        <v>5178.6000000000004</v>
      </c>
      <c r="AB57" s="856">
        <f t="shared" si="17"/>
        <v>-12083.4</v>
      </c>
      <c r="AC57" s="856">
        <f t="shared" si="18"/>
        <v>39702.6</v>
      </c>
      <c r="AD57" s="856">
        <f t="shared" si="19"/>
        <v>-99</v>
      </c>
      <c r="AE57" s="856">
        <f t="shared" si="20"/>
        <v>39603.599999999999</v>
      </c>
      <c r="AF57" s="855">
        <v>0</v>
      </c>
      <c r="AG57" s="858">
        <f t="shared" si="21"/>
        <v>39603.599999999999</v>
      </c>
      <c r="AH57" s="858">
        <f>4329*8</f>
        <v>34632</v>
      </c>
      <c r="AI57" s="858">
        <f t="shared" si="22"/>
        <v>4971.5999999999985</v>
      </c>
      <c r="AJ57" s="858">
        <f t="shared" si="23"/>
        <v>1243</v>
      </c>
      <c r="AK57" s="859">
        <f t="shared" si="24"/>
        <v>151828.22013172263</v>
      </c>
      <c r="AL57" s="859">
        <f t="shared" si="1"/>
        <v>4903</v>
      </c>
      <c r="AM57" s="1517"/>
      <c r="AN57" s="1517">
        <v>-130</v>
      </c>
      <c r="AO57" s="1521">
        <f t="shared" si="2"/>
        <v>31</v>
      </c>
    </row>
    <row r="58" spans="1:41" s="795" customFormat="1" ht="16.5" customHeight="1">
      <c r="A58" s="836">
        <v>54</v>
      </c>
      <c r="B58" s="837" t="s">
        <v>228</v>
      </c>
      <c r="C58" s="849">
        <v>0</v>
      </c>
      <c r="D58" s="850">
        <f>'Table 3 Levels 1&amp;2'!AL61*90%</f>
        <v>5088.86379648</v>
      </c>
      <c r="E58" s="850">
        <f t="shared" si="3"/>
        <v>0</v>
      </c>
      <c r="F58" s="851">
        <f>'Table 4 Level 3'!P59*90%</f>
        <v>856.30500000000006</v>
      </c>
      <c r="G58" s="851">
        <f t="shared" si="4"/>
        <v>0</v>
      </c>
      <c r="H58" s="851">
        <f t="shared" si="5"/>
        <v>0</v>
      </c>
      <c r="I58" s="851">
        <f>'Oct midyear adj_Connections'!K59</f>
        <v>11890.337592960001</v>
      </c>
      <c r="J58" s="851">
        <f>'Feb midyear adj_Connections'!K59</f>
        <v>0</v>
      </c>
      <c r="K58" s="851">
        <f t="shared" si="6"/>
        <v>11890.337592960001</v>
      </c>
      <c r="L58" s="851">
        <f t="shared" si="7"/>
        <v>11890.337592960001</v>
      </c>
      <c r="M58" s="851">
        <f t="shared" si="8"/>
        <v>-30</v>
      </c>
      <c r="N58" s="852">
        <f t="shared" si="9"/>
        <v>11860.337592960001</v>
      </c>
      <c r="O58" s="852">
        <v>0</v>
      </c>
      <c r="P58" s="853">
        <f t="shared" si="10"/>
        <v>11860.337592960001</v>
      </c>
      <c r="Q58" s="854"/>
      <c r="R58" s="853">
        <f t="shared" si="11"/>
        <v>11860.337592960001</v>
      </c>
      <c r="S58" s="853">
        <f>0*8</f>
        <v>0</v>
      </c>
      <c r="T58" s="853">
        <f t="shared" si="12"/>
        <v>11860.337592960001</v>
      </c>
      <c r="U58" s="853">
        <f t="shared" si="13"/>
        <v>2965</v>
      </c>
      <c r="V58" s="856">
        <f>'[11]FY2011-12_Final'!$K61*90%</f>
        <v>2655.9</v>
      </c>
      <c r="W58" s="856">
        <f t="shared" si="14"/>
        <v>0</v>
      </c>
      <c r="X58" s="857">
        <f>'Oct midyear adj_Connections'!E59</f>
        <v>2</v>
      </c>
      <c r="Y58" s="856">
        <f t="shared" si="15"/>
        <v>5311.8</v>
      </c>
      <c r="Z58" s="857">
        <f>'Feb midyear adj_Connections'!E59</f>
        <v>0</v>
      </c>
      <c r="AA58" s="856">
        <f t="shared" si="16"/>
        <v>0</v>
      </c>
      <c r="AB58" s="856">
        <f t="shared" si="17"/>
        <v>5311.8</v>
      </c>
      <c r="AC58" s="856">
        <f t="shared" si="18"/>
        <v>5311.8</v>
      </c>
      <c r="AD58" s="856">
        <f t="shared" si="19"/>
        <v>-13</v>
      </c>
      <c r="AE58" s="856">
        <f t="shared" si="20"/>
        <v>5298.8</v>
      </c>
      <c r="AF58" s="855">
        <v>0</v>
      </c>
      <c r="AG58" s="858">
        <f t="shared" si="21"/>
        <v>5298.8</v>
      </c>
      <c r="AH58" s="858">
        <f>0*8</f>
        <v>0</v>
      </c>
      <c r="AI58" s="858">
        <f t="shared" si="22"/>
        <v>5298.8</v>
      </c>
      <c r="AJ58" s="858">
        <f t="shared" si="23"/>
        <v>1325</v>
      </c>
      <c r="AK58" s="859">
        <f t="shared" si="24"/>
        <v>17159.13759296</v>
      </c>
      <c r="AL58" s="859">
        <f t="shared" si="1"/>
        <v>4290</v>
      </c>
      <c r="AM58" s="1517"/>
      <c r="AN58" s="1517">
        <v>0</v>
      </c>
      <c r="AO58" s="1521">
        <f t="shared" si="2"/>
        <v>-13</v>
      </c>
    </row>
    <row r="59" spans="1:41" s="795" customFormat="1" ht="16.5" customHeight="1">
      <c r="A59" s="860">
        <v>55</v>
      </c>
      <c r="B59" s="861" t="s">
        <v>229</v>
      </c>
      <c r="C59" s="862">
        <v>17</v>
      </c>
      <c r="D59" s="863">
        <f>'Table 3 Levels 1&amp;2'!AL62*90%</f>
        <v>3661.7481053348683</v>
      </c>
      <c r="E59" s="863">
        <f t="shared" si="3"/>
        <v>62249.717790692761</v>
      </c>
      <c r="F59" s="864">
        <f>'Table 4 Level 3'!P60*90%</f>
        <v>715.62599999999998</v>
      </c>
      <c r="G59" s="864">
        <f t="shared" si="4"/>
        <v>12165.642</v>
      </c>
      <c r="H59" s="864">
        <f t="shared" si="5"/>
        <v>74415.359790692761</v>
      </c>
      <c r="I59" s="864">
        <f>'Oct midyear adj_Connections'!K60</f>
        <v>-17509.496421339474</v>
      </c>
      <c r="J59" s="864">
        <f>'Feb midyear adj_Connections'!K60</f>
        <v>0</v>
      </c>
      <c r="K59" s="864">
        <f t="shared" si="6"/>
        <v>-17509.496421339474</v>
      </c>
      <c r="L59" s="864">
        <f t="shared" si="7"/>
        <v>56905.86336935329</v>
      </c>
      <c r="M59" s="864">
        <f t="shared" si="8"/>
        <v>-142</v>
      </c>
      <c r="N59" s="865">
        <f t="shared" si="9"/>
        <v>56763.86336935329</v>
      </c>
      <c r="O59" s="865">
        <v>0</v>
      </c>
      <c r="P59" s="866">
        <f t="shared" si="10"/>
        <v>56763.86336935329</v>
      </c>
      <c r="Q59" s="867"/>
      <c r="R59" s="866">
        <f t="shared" si="11"/>
        <v>56763.86336935329</v>
      </c>
      <c r="S59" s="866">
        <f>6186*8</f>
        <v>49488</v>
      </c>
      <c r="T59" s="866">
        <f t="shared" si="12"/>
        <v>7275.8633693532902</v>
      </c>
      <c r="U59" s="866">
        <f t="shared" si="13"/>
        <v>1819</v>
      </c>
      <c r="V59" s="869">
        <f>'[11]FY2011-12_Final'!$K62*90%</f>
        <v>2719.8</v>
      </c>
      <c r="W59" s="869">
        <f t="shared" si="14"/>
        <v>46236.600000000006</v>
      </c>
      <c r="X59" s="870">
        <f>'Oct midyear adj_Connections'!E60</f>
        <v>-4</v>
      </c>
      <c r="Y59" s="869">
        <f t="shared" si="15"/>
        <v>-10879.2</v>
      </c>
      <c r="Z59" s="870">
        <f>'Feb midyear adj_Connections'!E60</f>
        <v>0</v>
      </c>
      <c r="AA59" s="869">
        <f t="shared" si="16"/>
        <v>0</v>
      </c>
      <c r="AB59" s="869">
        <f t="shared" si="17"/>
        <v>-10879.2</v>
      </c>
      <c r="AC59" s="869">
        <f t="shared" si="18"/>
        <v>35357.400000000009</v>
      </c>
      <c r="AD59" s="869">
        <f t="shared" si="19"/>
        <v>-88</v>
      </c>
      <c r="AE59" s="869">
        <f t="shared" si="20"/>
        <v>35269.400000000009</v>
      </c>
      <c r="AF59" s="868">
        <v>0</v>
      </c>
      <c r="AG59" s="871">
        <f t="shared" si="21"/>
        <v>35269.400000000009</v>
      </c>
      <c r="AH59" s="871">
        <f>3709*8</f>
        <v>29672</v>
      </c>
      <c r="AI59" s="871">
        <f t="shared" si="22"/>
        <v>5597.4000000000087</v>
      </c>
      <c r="AJ59" s="871">
        <f t="shared" si="23"/>
        <v>1399</v>
      </c>
      <c r="AK59" s="872">
        <f t="shared" si="24"/>
        <v>92033.263369353299</v>
      </c>
      <c r="AL59" s="872">
        <f t="shared" si="1"/>
        <v>3218</v>
      </c>
      <c r="AM59" s="1517"/>
      <c r="AN59" s="1517">
        <v>-112</v>
      </c>
      <c r="AO59" s="1521">
        <f t="shared" si="2"/>
        <v>24</v>
      </c>
    </row>
    <row r="60" spans="1:41" s="795" customFormat="1" ht="16.5" customHeight="1">
      <c r="A60" s="836">
        <v>56</v>
      </c>
      <c r="B60" s="837" t="s">
        <v>230</v>
      </c>
      <c r="C60" s="838">
        <v>5</v>
      </c>
      <c r="D60" s="839">
        <f>'Table 3 Levels 1&amp;2'!AL63*90%</f>
        <v>4589.6942743758955</v>
      </c>
      <c r="E60" s="839">
        <f t="shared" si="3"/>
        <v>22948.471371879477</v>
      </c>
      <c r="F60" s="840">
        <f>'Table 4 Level 3'!P61*90%</f>
        <v>553.19400000000007</v>
      </c>
      <c r="G60" s="840">
        <f t="shared" si="4"/>
        <v>2765.9700000000003</v>
      </c>
      <c r="H60" s="840">
        <f t="shared" si="5"/>
        <v>25714.441371879479</v>
      </c>
      <c r="I60" s="840">
        <f>'Oct midyear adj_Connections'!K61</f>
        <v>-15428.664823127689</v>
      </c>
      <c r="J60" s="840">
        <f>'Feb midyear adj_Connections'!K61</f>
        <v>2571.4441371879479</v>
      </c>
      <c r="K60" s="840">
        <f t="shared" si="6"/>
        <v>-12857.220685939741</v>
      </c>
      <c r="L60" s="840">
        <f t="shared" si="7"/>
        <v>12857.220685939737</v>
      </c>
      <c r="M60" s="840">
        <f t="shared" si="8"/>
        <v>-32</v>
      </c>
      <c r="N60" s="841">
        <f t="shared" si="9"/>
        <v>12825.220685939737</v>
      </c>
      <c r="O60" s="841">
        <v>0</v>
      </c>
      <c r="P60" s="842">
        <f t="shared" si="10"/>
        <v>12825.220685939737</v>
      </c>
      <c r="Q60" s="843"/>
      <c r="R60" s="842">
        <f t="shared" si="11"/>
        <v>12825.220685939737</v>
      </c>
      <c r="S60" s="842">
        <f>2138*8</f>
        <v>17104</v>
      </c>
      <c r="T60" s="842">
        <f t="shared" si="12"/>
        <v>-4278.7793140602625</v>
      </c>
      <c r="U60" s="842">
        <f t="shared" si="13"/>
        <v>-1070</v>
      </c>
      <c r="V60" s="845">
        <f>'[11]FY2011-12_Final'!$K63*90%</f>
        <v>2614.5</v>
      </c>
      <c r="W60" s="845">
        <f t="shared" si="14"/>
        <v>13072.5</v>
      </c>
      <c r="X60" s="846">
        <f>'Oct midyear adj_Connections'!E61</f>
        <v>-3</v>
      </c>
      <c r="Y60" s="845">
        <f t="shared" si="15"/>
        <v>-7843.5</v>
      </c>
      <c r="Z60" s="846">
        <f>'Feb midyear adj_Connections'!E61</f>
        <v>1</v>
      </c>
      <c r="AA60" s="845">
        <f t="shared" si="16"/>
        <v>1307.25</v>
      </c>
      <c r="AB60" s="845">
        <f t="shared" si="17"/>
        <v>-6536.25</v>
      </c>
      <c r="AC60" s="845">
        <f t="shared" si="18"/>
        <v>6536.25</v>
      </c>
      <c r="AD60" s="845">
        <f t="shared" si="19"/>
        <v>-16</v>
      </c>
      <c r="AE60" s="845">
        <f t="shared" si="20"/>
        <v>6520.25</v>
      </c>
      <c r="AF60" s="844">
        <v>0</v>
      </c>
      <c r="AG60" s="847">
        <f t="shared" si="21"/>
        <v>6520.25</v>
      </c>
      <c r="AH60" s="847">
        <f>1069*8</f>
        <v>8552</v>
      </c>
      <c r="AI60" s="847">
        <f t="shared" si="22"/>
        <v>-2031.75</v>
      </c>
      <c r="AJ60" s="847">
        <f t="shared" si="23"/>
        <v>-508</v>
      </c>
      <c r="AK60" s="848">
        <f t="shared" si="24"/>
        <v>19345.470685939737</v>
      </c>
      <c r="AL60" s="848">
        <f t="shared" si="1"/>
        <v>-1578</v>
      </c>
      <c r="AM60" s="1517"/>
      <c r="AN60" s="1517">
        <v>-32</v>
      </c>
      <c r="AO60" s="1521">
        <f t="shared" si="2"/>
        <v>16</v>
      </c>
    </row>
    <row r="61" spans="1:41" s="795" customFormat="1" ht="16.5" customHeight="1">
      <c r="A61" s="836">
        <v>57</v>
      </c>
      <c r="B61" s="837" t="s">
        <v>231</v>
      </c>
      <c r="C61" s="849">
        <v>4</v>
      </c>
      <c r="D61" s="850">
        <f>'Table 3 Levels 1&amp;2'!AL64*90%</f>
        <v>4070.7778701927314</v>
      </c>
      <c r="E61" s="850">
        <f t="shared" si="3"/>
        <v>16283.111480770925</v>
      </c>
      <c r="F61" s="851">
        <f>'Table 4 Level 3'!P62*90%</f>
        <v>688.05899999999997</v>
      </c>
      <c r="G61" s="851">
        <f t="shared" si="4"/>
        <v>2752.2359999999999</v>
      </c>
      <c r="H61" s="851">
        <f t="shared" si="5"/>
        <v>19035.347480770924</v>
      </c>
      <c r="I61" s="851">
        <f>'Oct midyear adj_Connections'!K62</f>
        <v>9517.6737403854622</v>
      </c>
      <c r="J61" s="851">
        <f>'Feb midyear adj_Connections'!K62</f>
        <v>2379.4184350963656</v>
      </c>
      <c r="K61" s="851">
        <f t="shared" si="6"/>
        <v>11897.092175481828</v>
      </c>
      <c r="L61" s="851">
        <f t="shared" si="7"/>
        <v>30932.439656252751</v>
      </c>
      <c r="M61" s="851">
        <f t="shared" si="8"/>
        <v>-77</v>
      </c>
      <c r="N61" s="852">
        <f t="shared" si="9"/>
        <v>30855.439656252751</v>
      </c>
      <c r="O61" s="852">
        <v>0</v>
      </c>
      <c r="P61" s="853">
        <f t="shared" si="10"/>
        <v>30855.439656252751</v>
      </c>
      <c r="Q61" s="854"/>
      <c r="R61" s="853">
        <f t="shared" si="11"/>
        <v>30855.439656252751</v>
      </c>
      <c r="S61" s="853">
        <f>1582*8</f>
        <v>12656</v>
      </c>
      <c r="T61" s="853">
        <f t="shared" si="12"/>
        <v>18199.439656252751</v>
      </c>
      <c r="U61" s="853">
        <f t="shared" si="13"/>
        <v>4550</v>
      </c>
      <c r="V61" s="856">
        <f>'[11]FY2011-12_Final'!$K64*90%</f>
        <v>2731.5</v>
      </c>
      <c r="W61" s="856">
        <f t="shared" si="14"/>
        <v>10926</v>
      </c>
      <c r="X61" s="857">
        <f>'Oct midyear adj_Connections'!E62</f>
        <v>2</v>
      </c>
      <c r="Y61" s="856">
        <f t="shared" si="15"/>
        <v>5463</v>
      </c>
      <c r="Z61" s="857">
        <f>'Feb midyear adj_Connections'!E62</f>
        <v>1</v>
      </c>
      <c r="AA61" s="856">
        <f t="shared" si="16"/>
        <v>1365.75</v>
      </c>
      <c r="AB61" s="856">
        <f t="shared" si="17"/>
        <v>6828.75</v>
      </c>
      <c r="AC61" s="856">
        <f t="shared" si="18"/>
        <v>17754.75</v>
      </c>
      <c r="AD61" s="856">
        <f t="shared" si="19"/>
        <v>-44</v>
      </c>
      <c r="AE61" s="856">
        <f t="shared" si="20"/>
        <v>17710.75</v>
      </c>
      <c r="AF61" s="855">
        <v>0</v>
      </c>
      <c r="AG61" s="858">
        <f t="shared" si="21"/>
        <v>17710.75</v>
      </c>
      <c r="AH61" s="858">
        <f>901*8</f>
        <v>7208</v>
      </c>
      <c r="AI61" s="858">
        <f t="shared" si="22"/>
        <v>10502.75</v>
      </c>
      <c r="AJ61" s="858">
        <f t="shared" si="23"/>
        <v>2626</v>
      </c>
      <c r="AK61" s="859">
        <f t="shared" si="24"/>
        <v>48566.189656252755</v>
      </c>
      <c r="AL61" s="859">
        <f t="shared" si="1"/>
        <v>7176</v>
      </c>
      <c r="AM61" s="1517"/>
      <c r="AN61" s="1517">
        <v>-27</v>
      </c>
      <c r="AO61" s="1521">
        <f t="shared" si="2"/>
        <v>-17</v>
      </c>
    </row>
    <row r="62" spans="1:41" s="795" customFormat="1" ht="16.5" customHeight="1">
      <c r="A62" s="836">
        <v>58</v>
      </c>
      <c r="B62" s="837" t="s">
        <v>232</v>
      </c>
      <c r="C62" s="849">
        <v>11</v>
      </c>
      <c r="D62" s="850">
        <f>'Table 3 Levels 1&amp;2'!AL65*90%</f>
        <v>4756.468530368832</v>
      </c>
      <c r="E62" s="850">
        <f t="shared" si="3"/>
        <v>52321.15383405715</v>
      </c>
      <c r="F62" s="851">
        <f>'Table 4 Level 3'!P63*90%</f>
        <v>627.33600000000001</v>
      </c>
      <c r="G62" s="851">
        <f t="shared" si="4"/>
        <v>6900.6959999999999</v>
      </c>
      <c r="H62" s="851">
        <f t="shared" si="5"/>
        <v>59221.849834057153</v>
      </c>
      <c r="I62" s="851">
        <f>'Oct midyear adj_Connections'!K63</f>
        <v>10767.609060737665</v>
      </c>
      <c r="J62" s="851">
        <f>'Feb midyear adj_Connections'!K63</f>
        <v>-2691.9022651844161</v>
      </c>
      <c r="K62" s="851">
        <f t="shared" si="6"/>
        <v>8075.7067955532484</v>
      </c>
      <c r="L62" s="851">
        <f t="shared" si="7"/>
        <v>67297.556629610408</v>
      </c>
      <c r="M62" s="851">
        <f t="shared" si="8"/>
        <v>-168</v>
      </c>
      <c r="N62" s="852">
        <f t="shared" si="9"/>
        <v>67129.556629610408</v>
      </c>
      <c r="O62" s="852">
        <v>0</v>
      </c>
      <c r="P62" s="853">
        <f t="shared" si="10"/>
        <v>67129.556629610408</v>
      </c>
      <c r="Q62" s="854"/>
      <c r="R62" s="853">
        <f t="shared" si="11"/>
        <v>67129.556629610408</v>
      </c>
      <c r="S62" s="853">
        <f>4923*8</f>
        <v>39384</v>
      </c>
      <c r="T62" s="853">
        <f t="shared" si="12"/>
        <v>27745.556629610408</v>
      </c>
      <c r="U62" s="853">
        <f t="shared" si="13"/>
        <v>6936</v>
      </c>
      <c r="V62" s="856">
        <f>'[11]FY2011-12_Final'!$K65*90%</f>
        <v>1574.1000000000001</v>
      </c>
      <c r="W62" s="856">
        <f t="shared" si="14"/>
        <v>17315.100000000002</v>
      </c>
      <c r="X62" s="857">
        <f>'Oct midyear adj_Connections'!E63</f>
        <v>2</v>
      </c>
      <c r="Y62" s="856">
        <f t="shared" si="15"/>
        <v>3148.2000000000003</v>
      </c>
      <c r="Z62" s="857">
        <f>'Feb midyear adj_Connections'!E63</f>
        <v>-1</v>
      </c>
      <c r="AA62" s="856">
        <f t="shared" si="16"/>
        <v>-787.05000000000007</v>
      </c>
      <c r="AB62" s="856">
        <f t="shared" si="17"/>
        <v>2361.15</v>
      </c>
      <c r="AC62" s="856">
        <f t="shared" si="18"/>
        <v>19676.250000000004</v>
      </c>
      <c r="AD62" s="856">
        <f t="shared" si="19"/>
        <v>-49</v>
      </c>
      <c r="AE62" s="856">
        <f t="shared" si="20"/>
        <v>19627.250000000004</v>
      </c>
      <c r="AF62" s="855">
        <v>0</v>
      </c>
      <c r="AG62" s="858">
        <f t="shared" si="21"/>
        <v>19627.250000000004</v>
      </c>
      <c r="AH62" s="858">
        <f>1459*8</f>
        <v>11672</v>
      </c>
      <c r="AI62" s="858">
        <f t="shared" si="22"/>
        <v>7955.2500000000036</v>
      </c>
      <c r="AJ62" s="858">
        <f t="shared" si="23"/>
        <v>1989</v>
      </c>
      <c r="AK62" s="859">
        <f t="shared" si="24"/>
        <v>86756.806629610408</v>
      </c>
      <c r="AL62" s="859">
        <f t="shared" si="1"/>
        <v>8925</v>
      </c>
      <c r="AM62" s="1517"/>
      <c r="AN62" s="1517">
        <v>-44</v>
      </c>
      <c r="AO62" s="1521">
        <f t="shared" si="2"/>
        <v>-5</v>
      </c>
    </row>
    <row r="63" spans="1:41" s="795" customFormat="1" ht="16.5" customHeight="1">
      <c r="A63" s="836">
        <v>59</v>
      </c>
      <c r="B63" s="837" t="s">
        <v>233</v>
      </c>
      <c r="C63" s="849">
        <v>4</v>
      </c>
      <c r="D63" s="850">
        <f>'Table 3 Levels 1&amp;2'!AL66*90%</f>
        <v>5589.7772228340255</v>
      </c>
      <c r="E63" s="850">
        <f t="shared" si="3"/>
        <v>22359.108891336102</v>
      </c>
      <c r="F63" s="851">
        <f>'Table 4 Level 3'!P64*90%</f>
        <v>620.56799999999998</v>
      </c>
      <c r="G63" s="851">
        <f t="shared" si="4"/>
        <v>2482.2719999999999</v>
      </c>
      <c r="H63" s="851">
        <f t="shared" si="5"/>
        <v>24841.380891336103</v>
      </c>
      <c r="I63" s="851">
        <f>'Oct midyear adj_Connections'!K64</f>
        <v>24841.380891336103</v>
      </c>
      <c r="J63" s="851">
        <f>'Feb midyear adj_Connections'!K64</f>
        <v>3105.1726114170128</v>
      </c>
      <c r="K63" s="851">
        <f t="shared" si="6"/>
        <v>27946.553502753115</v>
      </c>
      <c r="L63" s="851">
        <f t="shared" si="7"/>
        <v>52787.934394089221</v>
      </c>
      <c r="M63" s="851">
        <f t="shared" si="8"/>
        <v>-132</v>
      </c>
      <c r="N63" s="852">
        <f t="shared" si="9"/>
        <v>52655.934394089221</v>
      </c>
      <c r="O63" s="852">
        <v>0</v>
      </c>
      <c r="P63" s="853">
        <f t="shared" si="10"/>
        <v>52655.934394089221</v>
      </c>
      <c r="Q63" s="854"/>
      <c r="R63" s="853">
        <f t="shared" si="11"/>
        <v>52655.934394089221</v>
      </c>
      <c r="S63" s="853">
        <f>2065*8</f>
        <v>16520</v>
      </c>
      <c r="T63" s="853">
        <f t="shared" si="12"/>
        <v>36135.934394089221</v>
      </c>
      <c r="U63" s="853">
        <f t="shared" si="13"/>
        <v>9034</v>
      </c>
      <c r="V63" s="856">
        <f>'[11]FY2011-12_Final'!$K66*90%</f>
        <v>1479.6000000000001</v>
      </c>
      <c r="W63" s="856">
        <f t="shared" si="14"/>
        <v>5918.4000000000005</v>
      </c>
      <c r="X63" s="857">
        <f>'Oct midyear adj_Connections'!E64</f>
        <v>4</v>
      </c>
      <c r="Y63" s="856">
        <f t="shared" si="15"/>
        <v>5918.4000000000005</v>
      </c>
      <c r="Z63" s="857">
        <f>'Feb midyear adj_Connections'!E64</f>
        <v>1</v>
      </c>
      <c r="AA63" s="856">
        <f t="shared" si="16"/>
        <v>739.80000000000007</v>
      </c>
      <c r="AB63" s="856">
        <f t="shared" si="17"/>
        <v>6658.2000000000007</v>
      </c>
      <c r="AC63" s="856">
        <f t="shared" si="18"/>
        <v>12576.6</v>
      </c>
      <c r="AD63" s="856">
        <f t="shared" si="19"/>
        <v>-31</v>
      </c>
      <c r="AE63" s="856">
        <f t="shared" si="20"/>
        <v>12545.6</v>
      </c>
      <c r="AF63" s="855">
        <v>0</v>
      </c>
      <c r="AG63" s="858">
        <f t="shared" si="21"/>
        <v>12545.6</v>
      </c>
      <c r="AH63" s="858">
        <f>447*8</f>
        <v>3576</v>
      </c>
      <c r="AI63" s="858">
        <f t="shared" si="22"/>
        <v>8969.6</v>
      </c>
      <c r="AJ63" s="858">
        <f t="shared" si="23"/>
        <v>2242</v>
      </c>
      <c r="AK63" s="859">
        <f t="shared" si="24"/>
        <v>65201.53439408922</v>
      </c>
      <c r="AL63" s="859">
        <f t="shared" si="1"/>
        <v>11276</v>
      </c>
      <c r="AM63" s="1517"/>
      <c r="AN63" s="1517">
        <v>-13</v>
      </c>
      <c r="AO63" s="1521">
        <f t="shared" si="2"/>
        <v>-18</v>
      </c>
    </row>
    <row r="64" spans="1:41" s="795" customFormat="1" ht="16.5" customHeight="1">
      <c r="A64" s="860">
        <v>60</v>
      </c>
      <c r="B64" s="861" t="s">
        <v>234</v>
      </c>
      <c r="C64" s="862">
        <v>10</v>
      </c>
      <c r="D64" s="863">
        <f>'Table 3 Levels 1&amp;2'!AL67*90%</f>
        <v>4422.4714493933088</v>
      </c>
      <c r="E64" s="863">
        <f t="shared" si="3"/>
        <v>44224.71449393309</v>
      </c>
      <c r="F64" s="864">
        <f>'Table 4 Level 3'!P65*90%</f>
        <v>534.63599999999997</v>
      </c>
      <c r="G64" s="864">
        <f t="shared" si="4"/>
        <v>5346.36</v>
      </c>
      <c r="H64" s="864">
        <f t="shared" si="5"/>
        <v>49571.074493933091</v>
      </c>
      <c r="I64" s="864">
        <f>'Oct midyear adj_Connections'!K65</f>
        <v>34699.752145753155</v>
      </c>
      <c r="J64" s="864">
        <f>'Feb midyear adj_Connections'!K65</f>
        <v>-2478.5537246966542</v>
      </c>
      <c r="K64" s="864">
        <f t="shared" si="6"/>
        <v>32221.198421056499</v>
      </c>
      <c r="L64" s="864">
        <f t="shared" si="7"/>
        <v>81792.272914989589</v>
      </c>
      <c r="M64" s="864">
        <f t="shared" si="8"/>
        <v>-204</v>
      </c>
      <c r="N64" s="865">
        <f t="shared" si="9"/>
        <v>81588.272914989589</v>
      </c>
      <c r="O64" s="865">
        <v>0</v>
      </c>
      <c r="P64" s="866">
        <f t="shared" si="10"/>
        <v>81588.272914989589</v>
      </c>
      <c r="Q64" s="867"/>
      <c r="R64" s="866">
        <f t="shared" si="11"/>
        <v>81588.272914989589</v>
      </c>
      <c r="S64" s="866">
        <f>4121*8</f>
        <v>32968</v>
      </c>
      <c r="T64" s="866">
        <f t="shared" si="12"/>
        <v>48620.272914989589</v>
      </c>
      <c r="U64" s="866">
        <f t="shared" si="13"/>
        <v>12155</v>
      </c>
      <c r="V64" s="869">
        <f>'[11]FY2011-12_Final'!$K67*90%</f>
        <v>3472.2000000000003</v>
      </c>
      <c r="W64" s="869">
        <f t="shared" si="14"/>
        <v>34722</v>
      </c>
      <c r="X64" s="870">
        <f>'Oct midyear adj_Connections'!E65</f>
        <v>7</v>
      </c>
      <c r="Y64" s="869">
        <f t="shared" si="15"/>
        <v>24305.4</v>
      </c>
      <c r="Z64" s="870">
        <f>'Feb midyear adj_Connections'!E65</f>
        <v>-1</v>
      </c>
      <c r="AA64" s="869">
        <f t="shared" si="16"/>
        <v>-1736.1000000000001</v>
      </c>
      <c r="AB64" s="869">
        <f t="shared" si="17"/>
        <v>22569.300000000003</v>
      </c>
      <c r="AC64" s="869">
        <f t="shared" si="18"/>
        <v>57291.3</v>
      </c>
      <c r="AD64" s="869">
        <f t="shared" si="19"/>
        <v>-143</v>
      </c>
      <c r="AE64" s="869">
        <f t="shared" si="20"/>
        <v>57148.3</v>
      </c>
      <c r="AF64" s="868">
        <v>0</v>
      </c>
      <c r="AG64" s="871">
        <f t="shared" si="21"/>
        <v>57148.3</v>
      </c>
      <c r="AH64" s="871">
        <f>2733*8</f>
        <v>21864</v>
      </c>
      <c r="AI64" s="871">
        <f t="shared" si="22"/>
        <v>35284.300000000003</v>
      </c>
      <c r="AJ64" s="871">
        <f t="shared" si="23"/>
        <v>8821</v>
      </c>
      <c r="AK64" s="872">
        <f t="shared" si="24"/>
        <v>138736.57291498961</v>
      </c>
      <c r="AL64" s="872">
        <f t="shared" si="1"/>
        <v>20976</v>
      </c>
      <c r="AM64" s="1517"/>
      <c r="AN64" s="1517">
        <v>-82</v>
      </c>
      <c r="AO64" s="1521">
        <f t="shared" si="2"/>
        <v>-61</v>
      </c>
    </row>
    <row r="65" spans="1:41" s="795" customFormat="1" ht="16.5" customHeight="1">
      <c r="A65" s="836">
        <v>61</v>
      </c>
      <c r="B65" s="837" t="s">
        <v>235</v>
      </c>
      <c r="C65" s="838">
        <v>2</v>
      </c>
      <c r="D65" s="839">
        <f>'Table 3 Levels 1&amp;2'!AL68*90%</f>
        <v>2631.4655293498095</v>
      </c>
      <c r="E65" s="839">
        <f t="shared" si="3"/>
        <v>5262.9310586996189</v>
      </c>
      <c r="F65" s="840">
        <f>'Table 4 Level 3'!P66*90%</f>
        <v>750.33899999999994</v>
      </c>
      <c r="G65" s="840">
        <f t="shared" si="4"/>
        <v>1500.6779999999999</v>
      </c>
      <c r="H65" s="840">
        <f t="shared" si="5"/>
        <v>6763.6090586996188</v>
      </c>
      <c r="I65" s="840">
        <f>'Oct midyear adj_Connections'!K66</f>
        <v>-6763.6090586996188</v>
      </c>
      <c r="J65" s="840">
        <f>'Feb midyear adj_Connections'!K66</f>
        <v>0</v>
      </c>
      <c r="K65" s="840">
        <f t="shared" si="6"/>
        <v>-6763.6090586996188</v>
      </c>
      <c r="L65" s="840">
        <f t="shared" si="7"/>
        <v>0</v>
      </c>
      <c r="M65" s="840">
        <f t="shared" si="8"/>
        <v>0</v>
      </c>
      <c r="N65" s="841">
        <f t="shared" si="9"/>
        <v>0</v>
      </c>
      <c r="O65" s="841">
        <v>0</v>
      </c>
      <c r="P65" s="842">
        <f t="shared" si="10"/>
        <v>0</v>
      </c>
      <c r="Q65" s="843"/>
      <c r="R65" s="842">
        <f t="shared" si="11"/>
        <v>0</v>
      </c>
      <c r="S65" s="842">
        <f>562*8</f>
        <v>4496</v>
      </c>
      <c r="T65" s="842">
        <f t="shared" si="12"/>
        <v>-4496</v>
      </c>
      <c r="U65" s="842">
        <f t="shared" si="13"/>
        <v>-1124</v>
      </c>
      <c r="V65" s="845">
        <f>'[11]FY2011-12_Final'!$K68*90%</f>
        <v>5440.5</v>
      </c>
      <c r="W65" s="845">
        <f t="shared" si="14"/>
        <v>10881</v>
      </c>
      <c r="X65" s="846">
        <f>'Oct midyear adj_Connections'!E66</f>
        <v>-2</v>
      </c>
      <c r="Y65" s="845">
        <f t="shared" si="15"/>
        <v>-10881</v>
      </c>
      <c r="Z65" s="846">
        <f>'Feb midyear adj_Connections'!E66</f>
        <v>0</v>
      </c>
      <c r="AA65" s="845">
        <f t="shared" si="16"/>
        <v>0</v>
      </c>
      <c r="AB65" s="845">
        <f t="shared" si="17"/>
        <v>-10881</v>
      </c>
      <c r="AC65" s="845">
        <f t="shared" si="18"/>
        <v>0</v>
      </c>
      <c r="AD65" s="845">
        <f t="shared" si="19"/>
        <v>0</v>
      </c>
      <c r="AE65" s="845">
        <f t="shared" si="20"/>
        <v>0</v>
      </c>
      <c r="AF65" s="844">
        <v>0</v>
      </c>
      <c r="AG65" s="847">
        <f t="shared" si="21"/>
        <v>0</v>
      </c>
      <c r="AH65" s="847">
        <f>914*8</f>
        <v>7312</v>
      </c>
      <c r="AI65" s="847">
        <f t="shared" si="22"/>
        <v>-7312</v>
      </c>
      <c r="AJ65" s="847">
        <f t="shared" si="23"/>
        <v>-1828</v>
      </c>
      <c r="AK65" s="848">
        <f t="shared" si="24"/>
        <v>0</v>
      </c>
      <c r="AL65" s="848">
        <f t="shared" si="1"/>
        <v>-2952</v>
      </c>
      <c r="AM65" s="1517"/>
      <c r="AN65" s="1517">
        <v>-27</v>
      </c>
      <c r="AO65" s="1521">
        <f t="shared" si="2"/>
        <v>27</v>
      </c>
    </row>
    <row r="66" spans="1:41" s="795" customFormat="1" ht="16.5" customHeight="1">
      <c r="A66" s="836">
        <v>62</v>
      </c>
      <c r="B66" s="837" t="s">
        <v>236</v>
      </c>
      <c r="C66" s="849">
        <v>3</v>
      </c>
      <c r="D66" s="850">
        <f>'Table 3 Levels 1&amp;2'!AL69*90%</f>
        <v>4952.451925981527</v>
      </c>
      <c r="E66" s="850">
        <f t="shared" si="3"/>
        <v>14857.35577794458</v>
      </c>
      <c r="F66" s="851">
        <f>'Table 4 Level 3'!P67*90%</f>
        <v>464.47200000000004</v>
      </c>
      <c r="G66" s="851">
        <f t="shared" si="4"/>
        <v>1393.4160000000002</v>
      </c>
      <c r="H66" s="851">
        <f t="shared" si="5"/>
        <v>16250.771777944581</v>
      </c>
      <c r="I66" s="851">
        <f>'Oct midyear adj_Connections'!K67</f>
        <v>-5416.9239259815267</v>
      </c>
      <c r="J66" s="851">
        <f>'Feb midyear adj_Connections'!K67</f>
        <v>0</v>
      </c>
      <c r="K66" s="851">
        <f t="shared" si="6"/>
        <v>-5416.9239259815267</v>
      </c>
      <c r="L66" s="851">
        <f t="shared" si="7"/>
        <v>10833.847851963055</v>
      </c>
      <c r="M66" s="851">
        <f t="shared" si="8"/>
        <v>-27</v>
      </c>
      <c r="N66" s="852">
        <f t="shared" si="9"/>
        <v>10806.847851963055</v>
      </c>
      <c r="O66" s="852">
        <v>0</v>
      </c>
      <c r="P66" s="853">
        <f t="shared" si="10"/>
        <v>10806.847851963055</v>
      </c>
      <c r="Q66" s="854"/>
      <c r="R66" s="853">
        <f t="shared" si="11"/>
        <v>10806.847851963055</v>
      </c>
      <c r="S66" s="853">
        <f>1351*8</f>
        <v>10808</v>
      </c>
      <c r="T66" s="853">
        <f t="shared" si="12"/>
        <v>-1.152148036944709</v>
      </c>
      <c r="U66" s="853">
        <f t="shared" si="13"/>
        <v>0</v>
      </c>
      <c r="V66" s="856">
        <f>'[11]FY2011-12_Final'!$K69*90%</f>
        <v>1512.9</v>
      </c>
      <c r="W66" s="856">
        <f t="shared" si="14"/>
        <v>4538.7000000000007</v>
      </c>
      <c r="X66" s="857">
        <f>'Oct midyear adj_Connections'!E67</f>
        <v>-1</v>
      </c>
      <c r="Y66" s="856">
        <f t="shared" si="15"/>
        <v>-1512.9</v>
      </c>
      <c r="Z66" s="857">
        <f>'Feb midyear adj_Connections'!E67</f>
        <v>0</v>
      </c>
      <c r="AA66" s="856">
        <f t="shared" si="16"/>
        <v>0</v>
      </c>
      <c r="AB66" s="856">
        <f t="shared" si="17"/>
        <v>-1512.9</v>
      </c>
      <c r="AC66" s="856">
        <f t="shared" si="18"/>
        <v>3025.8000000000006</v>
      </c>
      <c r="AD66" s="856">
        <f t="shared" si="19"/>
        <v>-8</v>
      </c>
      <c r="AE66" s="856">
        <f t="shared" si="20"/>
        <v>3017.8000000000006</v>
      </c>
      <c r="AF66" s="855">
        <v>0</v>
      </c>
      <c r="AG66" s="858">
        <f t="shared" si="21"/>
        <v>3017.8000000000006</v>
      </c>
      <c r="AH66" s="858">
        <f>314*8</f>
        <v>2512</v>
      </c>
      <c r="AI66" s="858">
        <f t="shared" si="22"/>
        <v>505.80000000000064</v>
      </c>
      <c r="AJ66" s="858">
        <f t="shared" si="23"/>
        <v>126</v>
      </c>
      <c r="AK66" s="859">
        <f t="shared" si="24"/>
        <v>13824.647851963056</v>
      </c>
      <c r="AL66" s="859">
        <f t="shared" si="1"/>
        <v>126</v>
      </c>
      <c r="AM66" s="1517"/>
      <c r="AN66" s="1517">
        <v>-9</v>
      </c>
      <c r="AO66" s="1521">
        <f t="shared" si="2"/>
        <v>1</v>
      </c>
    </row>
    <row r="67" spans="1:41" s="795" customFormat="1" ht="16.5" customHeight="1">
      <c r="A67" s="836">
        <v>63</v>
      </c>
      <c r="B67" s="837" t="s">
        <v>237</v>
      </c>
      <c r="C67" s="849">
        <v>3</v>
      </c>
      <c r="D67" s="850">
        <f>'Table 3 Levels 1&amp;2'!AL70*90%</f>
        <v>3822.1503336417391</v>
      </c>
      <c r="E67" s="850">
        <f t="shared" si="3"/>
        <v>11466.451000925217</v>
      </c>
      <c r="F67" s="851">
        <f>'Table 4 Level 3'!P68*90%</f>
        <v>681.11099999999999</v>
      </c>
      <c r="G67" s="851">
        <f t="shared" si="4"/>
        <v>2043.3330000000001</v>
      </c>
      <c r="H67" s="851">
        <f t="shared" si="5"/>
        <v>13509.784000925218</v>
      </c>
      <c r="I67" s="851">
        <f>'Oct midyear adj_Connections'!K68</f>
        <v>13509.784000925218</v>
      </c>
      <c r="J67" s="851">
        <f>'Feb midyear adj_Connections'!K68</f>
        <v>0</v>
      </c>
      <c r="K67" s="851">
        <f t="shared" si="6"/>
        <v>13509.784000925218</v>
      </c>
      <c r="L67" s="851">
        <f t="shared" si="7"/>
        <v>27019.568001850435</v>
      </c>
      <c r="M67" s="851">
        <f t="shared" si="8"/>
        <v>-68</v>
      </c>
      <c r="N67" s="852">
        <f t="shared" si="9"/>
        <v>26951.568001850435</v>
      </c>
      <c r="O67" s="852">
        <v>0</v>
      </c>
      <c r="P67" s="853">
        <f t="shared" si="10"/>
        <v>26951.568001850435</v>
      </c>
      <c r="Q67" s="854"/>
      <c r="R67" s="853">
        <f t="shared" si="11"/>
        <v>26951.568001850435</v>
      </c>
      <c r="S67" s="853">
        <f>1123*8</f>
        <v>8984</v>
      </c>
      <c r="T67" s="853">
        <f t="shared" si="12"/>
        <v>17967.568001850435</v>
      </c>
      <c r="U67" s="853">
        <f t="shared" si="13"/>
        <v>4492</v>
      </c>
      <c r="V67" s="856">
        <f>'[11]FY2011-12_Final'!$K70*90%</f>
        <v>6282.9000000000005</v>
      </c>
      <c r="W67" s="856">
        <f t="shared" si="14"/>
        <v>18848.7</v>
      </c>
      <c r="X67" s="857">
        <f>'Oct midyear adj_Connections'!E68</f>
        <v>3</v>
      </c>
      <c r="Y67" s="856">
        <f t="shared" si="15"/>
        <v>18848.7</v>
      </c>
      <c r="Z67" s="857">
        <f>'Feb midyear adj_Connections'!E68</f>
        <v>0</v>
      </c>
      <c r="AA67" s="856">
        <f t="shared" si="16"/>
        <v>0</v>
      </c>
      <c r="AB67" s="856">
        <f t="shared" si="17"/>
        <v>18848.7</v>
      </c>
      <c r="AC67" s="856">
        <f t="shared" si="18"/>
        <v>37697.4</v>
      </c>
      <c r="AD67" s="856">
        <f t="shared" si="19"/>
        <v>-94</v>
      </c>
      <c r="AE67" s="856">
        <f t="shared" si="20"/>
        <v>37603.4</v>
      </c>
      <c r="AF67" s="855">
        <v>0</v>
      </c>
      <c r="AG67" s="858">
        <f t="shared" si="21"/>
        <v>37603.4</v>
      </c>
      <c r="AH67" s="858">
        <f>1155*8</f>
        <v>9240</v>
      </c>
      <c r="AI67" s="858">
        <f t="shared" si="22"/>
        <v>28363.4</v>
      </c>
      <c r="AJ67" s="858">
        <f t="shared" si="23"/>
        <v>7091</v>
      </c>
      <c r="AK67" s="859">
        <f t="shared" si="24"/>
        <v>64554.968001850437</v>
      </c>
      <c r="AL67" s="859">
        <f t="shared" si="1"/>
        <v>11583</v>
      </c>
      <c r="AM67" s="1517"/>
      <c r="AN67" s="1517">
        <v>-35</v>
      </c>
      <c r="AO67" s="1521">
        <f t="shared" si="2"/>
        <v>-59</v>
      </c>
    </row>
    <row r="68" spans="1:41" s="795" customFormat="1" ht="16.5" customHeight="1">
      <c r="A68" s="836">
        <v>64</v>
      </c>
      <c r="B68" s="837" t="s">
        <v>238</v>
      </c>
      <c r="C68" s="849">
        <v>1</v>
      </c>
      <c r="D68" s="850">
        <f>'Table 3 Levels 1&amp;2'!AL71*90%</f>
        <v>5271.286266696583</v>
      </c>
      <c r="E68" s="850">
        <f t="shared" si="3"/>
        <v>5271.286266696583</v>
      </c>
      <c r="F68" s="851">
        <f>'Table 4 Level 3'!P69*90%</f>
        <v>533.39400000000001</v>
      </c>
      <c r="G68" s="851">
        <f t="shared" si="4"/>
        <v>533.39400000000001</v>
      </c>
      <c r="H68" s="851">
        <f t="shared" si="5"/>
        <v>5804.6802666965832</v>
      </c>
      <c r="I68" s="851">
        <f>'Oct midyear adj_Connections'!K69</f>
        <v>0</v>
      </c>
      <c r="J68" s="851">
        <f>'Feb midyear adj_Connections'!K69</f>
        <v>0</v>
      </c>
      <c r="K68" s="851">
        <f t="shared" si="6"/>
        <v>0</v>
      </c>
      <c r="L68" s="851">
        <f t="shared" si="7"/>
        <v>5804.6802666965832</v>
      </c>
      <c r="M68" s="851">
        <f t="shared" si="8"/>
        <v>-15</v>
      </c>
      <c r="N68" s="852">
        <f t="shared" si="9"/>
        <v>5789.6802666965832</v>
      </c>
      <c r="O68" s="852">
        <v>0</v>
      </c>
      <c r="P68" s="853">
        <f t="shared" si="10"/>
        <v>5789.6802666965832</v>
      </c>
      <c r="Q68" s="854"/>
      <c r="R68" s="853">
        <f t="shared" si="11"/>
        <v>5789.6802666965832</v>
      </c>
      <c r="S68" s="853">
        <f>482*8</f>
        <v>3856</v>
      </c>
      <c r="T68" s="853">
        <f t="shared" si="12"/>
        <v>1933.6802666965832</v>
      </c>
      <c r="U68" s="853">
        <f t="shared" si="13"/>
        <v>483</v>
      </c>
      <c r="V68" s="856">
        <f>'[11]FY2011-12_Final'!$K71*90%</f>
        <v>2338.2000000000003</v>
      </c>
      <c r="W68" s="856">
        <f t="shared" si="14"/>
        <v>2338.2000000000003</v>
      </c>
      <c r="X68" s="857">
        <f>'Oct midyear adj_Connections'!E69</f>
        <v>0</v>
      </c>
      <c r="Y68" s="856">
        <f t="shared" si="15"/>
        <v>0</v>
      </c>
      <c r="Z68" s="857">
        <f>'Feb midyear adj_Connections'!E69</f>
        <v>0</v>
      </c>
      <c r="AA68" s="856">
        <f t="shared" si="16"/>
        <v>0</v>
      </c>
      <c r="AB68" s="856">
        <f t="shared" si="17"/>
        <v>0</v>
      </c>
      <c r="AC68" s="856">
        <f t="shared" si="18"/>
        <v>2338.2000000000003</v>
      </c>
      <c r="AD68" s="856">
        <f t="shared" si="19"/>
        <v>-6</v>
      </c>
      <c r="AE68" s="856">
        <f t="shared" si="20"/>
        <v>2332.2000000000003</v>
      </c>
      <c r="AF68" s="855">
        <v>0</v>
      </c>
      <c r="AG68" s="858">
        <f t="shared" si="21"/>
        <v>2332.2000000000003</v>
      </c>
      <c r="AH68" s="858">
        <f>189*8</f>
        <v>1512</v>
      </c>
      <c r="AI68" s="858">
        <f t="shared" si="22"/>
        <v>820.20000000000027</v>
      </c>
      <c r="AJ68" s="858">
        <f t="shared" si="23"/>
        <v>205</v>
      </c>
      <c r="AK68" s="859">
        <f t="shared" si="24"/>
        <v>8121.8802666965839</v>
      </c>
      <c r="AL68" s="859">
        <f t="shared" si="1"/>
        <v>688</v>
      </c>
      <c r="AM68" s="1517"/>
      <c r="AN68" s="1517">
        <v>-6</v>
      </c>
      <c r="AO68" s="1521">
        <f t="shared" si="2"/>
        <v>0</v>
      </c>
    </row>
    <row r="69" spans="1:41" s="795" customFormat="1" ht="16.5" customHeight="1">
      <c r="A69" s="860">
        <v>65</v>
      </c>
      <c r="B69" s="861" t="s">
        <v>239</v>
      </c>
      <c r="C69" s="862">
        <v>1</v>
      </c>
      <c r="D69" s="863">
        <f>'Table 3 Levels 1&amp;2'!AL72*90%</f>
        <v>4058.1400565581794</v>
      </c>
      <c r="E69" s="863">
        <f t="shared" si="3"/>
        <v>4058.1400565581794</v>
      </c>
      <c r="F69" s="864">
        <f>'Table 4 Level 3'!P70*90%</f>
        <v>746.20799999999997</v>
      </c>
      <c r="G69" s="864">
        <f t="shared" si="4"/>
        <v>746.20799999999997</v>
      </c>
      <c r="H69" s="864">
        <f t="shared" si="5"/>
        <v>4804.3480565581795</v>
      </c>
      <c r="I69" s="864">
        <f>'Oct midyear adj_Connections'!K70</f>
        <v>-4804.3480565581795</v>
      </c>
      <c r="J69" s="864">
        <f>'Feb midyear adj_Connections'!K70</f>
        <v>0</v>
      </c>
      <c r="K69" s="864">
        <f t="shared" si="6"/>
        <v>-4804.3480565581795</v>
      </c>
      <c r="L69" s="864">
        <f t="shared" si="7"/>
        <v>0</v>
      </c>
      <c r="M69" s="864">
        <f t="shared" si="8"/>
        <v>0</v>
      </c>
      <c r="N69" s="865">
        <f t="shared" si="9"/>
        <v>0</v>
      </c>
      <c r="O69" s="865">
        <v>0</v>
      </c>
      <c r="P69" s="866">
        <f t="shared" si="10"/>
        <v>0</v>
      </c>
      <c r="Q69" s="867"/>
      <c r="R69" s="866">
        <f t="shared" si="11"/>
        <v>0</v>
      </c>
      <c r="S69" s="866">
        <f>399*8</f>
        <v>3192</v>
      </c>
      <c r="T69" s="866">
        <f t="shared" si="12"/>
        <v>-3192</v>
      </c>
      <c r="U69" s="866">
        <f t="shared" si="13"/>
        <v>-798</v>
      </c>
      <c r="V69" s="869">
        <f>'[11]FY2011-12_Final'!$K72*90%</f>
        <v>4207.5</v>
      </c>
      <c r="W69" s="869">
        <f t="shared" si="14"/>
        <v>4207.5</v>
      </c>
      <c r="X69" s="870">
        <f>'Oct midyear adj_Connections'!E70</f>
        <v>-1</v>
      </c>
      <c r="Y69" s="869">
        <f t="shared" si="15"/>
        <v>-4207.5</v>
      </c>
      <c r="Z69" s="870">
        <f>'Feb midyear adj_Connections'!E70</f>
        <v>0</v>
      </c>
      <c r="AA69" s="869">
        <f t="shared" si="16"/>
        <v>0</v>
      </c>
      <c r="AB69" s="869">
        <f t="shared" si="17"/>
        <v>-4207.5</v>
      </c>
      <c r="AC69" s="869">
        <f t="shared" si="18"/>
        <v>0</v>
      </c>
      <c r="AD69" s="869">
        <f t="shared" si="19"/>
        <v>0</v>
      </c>
      <c r="AE69" s="869">
        <f t="shared" si="20"/>
        <v>0</v>
      </c>
      <c r="AF69" s="868">
        <v>0</v>
      </c>
      <c r="AG69" s="871">
        <f t="shared" si="21"/>
        <v>0</v>
      </c>
      <c r="AH69" s="871">
        <f>350*8</f>
        <v>2800</v>
      </c>
      <c r="AI69" s="871">
        <f t="shared" si="22"/>
        <v>-2800</v>
      </c>
      <c r="AJ69" s="871">
        <f t="shared" si="23"/>
        <v>-700</v>
      </c>
      <c r="AK69" s="872">
        <f t="shared" si="24"/>
        <v>0</v>
      </c>
      <c r="AL69" s="872">
        <f t="shared" ref="AL69:AL73" si="25">U69+AJ69</f>
        <v>-1498</v>
      </c>
      <c r="AM69" s="1517"/>
      <c r="AN69" s="1517">
        <v>-11</v>
      </c>
      <c r="AO69" s="1521">
        <f t="shared" ref="AO69:AO74" si="26">AD69-AN69</f>
        <v>11</v>
      </c>
    </row>
    <row r="70" spans="1:41" s="795" customFormat="1" ht="16.5" customHeight="1">
      <c r="A70" s="836">
        <v>66</v>
      </c>
      <c r="B70" s="837" t="s">
        <v>240</v>
      </c>
      <c r="C70" s="838">
        <v>6</v>
      </c>
      <c r="D70" s="839">
        <f>'Table 3 Levels 1&amp;2'!AL73*90%</f>
        <v>5548.4334996842617</v>
      </c>
      <c r="E70" s="839">
        <f t="shared" ref="E70:E73" si="27">C70*D70</f>
        <v>33290.600998105569</v>
      </c>
      <c r="F70" s="840">
        <f>'Table 4 Level 3'!P71*90%</f>
        <v>657.05399999999997</v>
      </c>
      <c r="G70" s="840">
        <f t="shared" ref="G70:G73" si="28">F70*C70</f>
        <v>3942.3239999999996</v>
      </c>
      <c r="H70" s="840">
        <f t="shared" ref="H70:H73" si="29">E70+G70</f>
        <v>37232.924998105569</v>
      </c>
      <c r="I70" s="840">
        <f>'Oct midyear adj_Connections'!K71</f>
        <v>-37232.924998105569</v>
      </c>
      <c r="J70" s="840">
        <f>'Feb midyear adj_Connections'!K71</f>
        <v>0</v>
      </c>
      <c r="K70" s="840">
        <f t="shared" ref="K70:K73" si="30">I70+J70</f>
        <v>-37232.924998105569</v>
      </c>
      <c r="L70" s="840">
        <f t="shared" ref="L70:L73" si="31">SUM(H70:J70)</f>
        <v>0</v>
      </c>
      <c r="M70" s="840">
        <f t="shared" ref="M70:M73" si="32">ROUND(-0.25%*L70,0)</f>
        <v>0</v>
      </c>
      <c r="N70" s="841">
        <f t="shared" ref="N70:N73" si="33">L70+M70</f>
        <v>0</v>
      </c>
      <c r="O70" s="841">
        <v>0</v>
      </c>
      <c r="P70" s="842">
        <f t="shared" ref="P70:P73" si="34">SUM(N70:O70)</f>
        <v>0</v>
      </c>
      <c r="Q70" s="843"/>
      <c r="R70" s="842">
        <f t="shared" ref="R70:R73" si="35">P70+Q70</f>
        <v>0</v>
      </c>
      <c r="S70" s="842">
        <f>3095*8</f>
        <v>24760</v>
      </c>
      <c r="T70" s="842">
        <f t="shared" ref="T70:T73" si="36">R70-S70</f>
        <v>-24760</v>
      </c>
      <c r="U70" s="842">
        <f t="shared" ref="U70:U73" si="37">ROUND(T70/4,0)</f>
        <v>-6190</v>
      </c>
      <c r="V70" s="845">
        <f>'[11]FY2011-12_Final'!$K73*90%</f>
        <v>3085.2000000000003</v>
      </c>
      <c r="W70" s="845">
        <f t="shared" ref="W70:W73" si="38">V70*C70</f>
        <v>18511.2</v>
      </c>
      <c r="X70" s="846">
        <f>'Oct midyear adj_Connections'!E71</f>
        <v>-6</v>
      </c>
      <c r="Y70" s="845">
        <f t="shared" ref="Y70:Y73" si="39">X70*V70</f>
        <v>-18511.2</v>
      </c>
      <c r="Z70" s="846">
        <f>'Feb midyear adj_Connections'!E71</f>
        <v>0</v>
      </c>
      <c r="AA70" s="845">
        <f t="shared" ref="AA70:AA73" si="40">(V70*0.5)*Z70</f>
        <v>0</v>
      </c>
      <c r="AB70" s="845">
        <f t="shared" ref="AB70:AB73" si="41">Y70+AA70</f>
        <v>-18511.2</v>
      </c>
      <c r="AC70" s="845">
        <f t="shared" ref="AC70:AC73" si="42">W70+Y70+AA70</f>
        <v>0</v>
      </c>
      <c r="AD70" s="845">
        <f t="shared" ref="AD70:AD73" si="43">ROUND(AC70*-0.25%,0)</f>
        <v>0</v>
      </c>
      <c r="AE70" s="845">
        <f t="shared" ref="AE70:AE73" si="44">SUM(AC70:AD70)</f>
        <v>0</v>
      </c>
      <c r="AF70" s="844">
        <v>0</v>
      </c>
      <c r="AG70" s="847">
        <f t="shared" ref="AG70:AG73" si="45">SUM(AE70:AF70)</f>
        <v>0</v>
      </c>
      <c r="AH70" s="847">
        <f>1470*8</f>
        <v>11760</v>
      </c>
      <c r="AI70" s="847">
        <f t="shared" ref="AI70:AI73" si="46">AG70-AH70</f>
        <v>-11760</v>
      </c>
      <c r="AJ70" s="847">
        <f t="shared" ref="AJ70:AJ73" si="47">ROUND(AI70/4,0)</f>
        <v>-2940</v>
      </c>
      <c r="AK70" s="848">
        <f t="shared" ref="AK70:AK73" si="48">AG70+R70</f>
        <v>0</v>
      </c>
      <c r="AL70" s="848">
        <f t="shared" si="25"/>
        <v>-9130</v>
      </c>
      <c r="AM70" s="1517"/>
      <c r="AN70" s="1517">
        <v>-44</v>
      </c>
      <c r="AO70" s="1521">
        <f t="shared" si="26"/>
        <v>44</v>
      </c>
    </row>
    <row r="71" spans="1:41" s="795" customFormat="1" ht="16.5" customHeight="1">
      <c r="A71" s="836">
        <v>67</v>
      </c>
      <c r="B71" s="837" t="s">
        <v>241</v>
      </c>
      <c r="C71" s="849">
        <v>3</v>
      </c>
      <c r="D71" s="850">
        <f>'Table 3 Levels 1&amp;2'!AL74*90%</f>
        <v>4497.9714675875975</v>
      </c>
      <c r="E71" s="850">
        <f t="shared" si="27"/>
        <v>13493.914402762792</v>
      </c>
      <c r="F71" s="851">
        <f>'Table 4 Level 3'!P72*90%</f>
        <v>644.04899999999998</v>
      </c>
      <c r="G71" s="851">
        <f t="shared" si="28"/>
        <v>1932.1469999999999</v>
      </c>
      <c r="H71" s="851">
        <f t="shared" si="29"/>
        <v>15426.061402762793</v>
      </c>
      <c r="I71" s="851">
        <f>'Oct midyear adj_Connections'!K72</f>
        <v>5142.0204675875975</v>
      </c>
      <c r="J71" s="851">
        <f>'Feb midyear adj_Connections'!K72</f>
        <v>-2571.0102337937988</v>
      </c>
      <c r="K71" s="851">
        <f t="shared" si="30"/>
        <v>2571.0102337937988</v>
      </c>
      <c r="L71" s="851">
        <f t="shared" si="31"/>
        <v>17997.07163655659</v>
      </c>
      <c r="M71" s="851">
        <f t="shared" si="32"/>
        <v>-45</v>
      </c>
      <c r="N71" s="852">
        <f t="shared" si="33"/>
        <v>17952.07163655659</v>
      </c>
      <c r="O71" s="852">
        <v>0</v>
      </c>
      <c r="P71" s="853">
        <f t="shared" si="34"/>
        <v>17952.07163655659</v>
      </c>
      <c r="Q71" s="854"/>
      <c r="R71" s="853">
        <f t="shared" si="35"/>
        <v>17952.07163655659</v>
      </c>
      <c r="S71" s="853">
        <f>1282*8</f>
        <v>10256</v>
      </c>
      <c r="T71" s="853">
        <f t="shared" si="36"/>
        <v>7696.0716365565895</v>
      </c>
      <c r="U71" s="853">
        <f t="shared" si="37"/>
        <v>1924</v>
      </c>
      <c r="V71" s="856">
        <f>'[11]FY2011-12_Final'!$K74*90%</f>
        <v>3922.2000000000003</v>
      </c>
      <c r="W71" s="856">
        <f t="shared" si="38"/>
        <v>11766.6</v>
      </c>
      <c r="X71" s="857">
        <f>'Oct midyear adj_Connections'!E72</f>
        <v>1</v>
      </c>
      <c r="Y71" s="856">
        <f t="shared" si="39"/>
        <v>3922.2000000000003</v>
      </c>
      <c r="Z71" s="857">
        <f>'Feb midyear adj_Connections'!E72</f>
        <v>-1</v>
      </c>
      <c r="AA71" s="856">
        <f t="shared" si="40"/>
        <v>-1961.1000000000001</v>
      </c>
      <c r="AB71" s="856">
        <f t="shared" si="41"/>
        <v>1961.1000000000001</v>
      </c>
      <c r="AC71" s="856">
        <f t="shared" si="42"/>
        <v>13727.7</v>
      </c>
      <c r="AD71" s="856">
        <f t="shared" si="43"/>
        <v>-34</v>
      </c>
      <c r="AE71" s="856">
        <f t="shared" si="44"/>
        <v>13693.7</v>
      </c>
      <c r="AF71" s="855">
        <v>0</v>
      </c>
      <c r="AG71" s="858">
        <f t="shared" si="45"/>
        <v>13693.7</v>
      </c>
      <c r="AH71" s="858">
        <f>967*8</f>
        <v>7736</v>
      </c>
      <c r="AI71" s="858">
        <f t="shared" si="46"/>
        <v>5957.7000000000007</v>
      </c>
      <c r="AJ71" s="858">
        <f t="shared" si="47"/>
        <v>1489</v>
      </c>
      <c r="AK71" s="859">
        <f t="shared" si="48"/>
        <v>31645.77163655659</v>
      </c>
      <c r="AL71" s="859">
        <f t="shared" si="25"/>
        <v>3413</v>
      </c>
      <c r="AM71" s="1517"/>
      <c r="AN71" s="1517">
        <v>-29</v>
      </c>
      <c r="AO71" s="1521">
        <f t="shared" si="26"/>
        <v>-5</v>
      </c>
    </row>
    <row r="72" spans="1:41" s="795" customFormat="1" ht="16.5" customHeight="1">
      <c r="A72" s="836">
        <v>68</v>
      </c>
      <c r="B72" s="837" t="s">
        <v>242</v>
      </c>
      <c r="C72" s="849">
        <v>1</v>
      </c>
      <c r="D72" s="850">
        <f>'Table 3 Levels 1&amp;2'!AL75*90%</f>
        <v>5271.2040456958403</v>
      </c>
      <c r="E72" s="850">
        <f t="shared" si="27"/>
        <v>5271.2040456958403</v>
      </c>
      <c r="F72" s="851">
        <f>'Table 4 Level 3'!P73*90%</f>
        <v>718.83</v>
      </c>
      <c r="G72" s="851">
        <f t="shared" si="28"/>
        <v>718.83</v>
      </c>
      <c r="H72" s="851">
        <f t="shared" si="29"/>
        <v>5990.0340456958402</v>
      </c>
      <c r="I72" s="851">
        <f>'Oct midyear adj_Connections'!K73</f>
        <v>11980.06809139168</v>
      </c>
      <c r="J72" s="851">
        <f>'Feb midyear adj_Connections'!K73</f>
        <v>-8985.0510685437603</v>
      </c>
      <c r="K72" s="851">
        <f t="shared" si="30"/>
        <v>2995.0170228479201</v>
      </c>
      <c r="L72" s="851">
        <f t="shared" si="31"/>
        <v>8985.0510685437603</v>
      </c>
      <c r="M72" s="851">
        <f t="shared" si="32"/>
        <v>-22</v>
      </c>
      <c r="N72" s="852">
        <f t="shared" si="33"/>
        <v>8963.0510685437603</v>
      </c>
      <c r="O72" s="852">
        <v>0</v>
      </c>
      <c r="P72" s="853">
        <f t="shared" si="34"/>
        <v>8963.0510685437603</v>
      </c>
      <c r="Q72" s="854"/>
      <c r="R72" s="853">
        <f t="shared" si="35"/>
        <v>8963.0510685437603</v>
      </c>
      <c r="S72" s="853">
        <f>498*8</f>
        <v>3984</v>
      </c>
      <c r="T72" s="853">
        <f t="shared" si="36"/>
        <v>4979.0510685437603</v>
      </c>
      <c r="U72" s="853">
        <f t="shared" si="37"/>
        <v>1245</v>
      </c>
      <c r="V72" s="856">
        <f>'[11]FY2011-12_Final'!$K75*90%</f>
        <v>2610</v>
      </c>
      <c r="W72" s="856">
        <f t="shared" si="38"/>
        <v>2610</v>
      </c>
      <c r="X72" s="857">
        <f>'Oct midyear adj_Connections'!E73</f>
        <v>2</v>
      </c>
      <c r="Y72" s="856">
        <f t="shared" si="39"/>
        <v>5220</v>
      </c>
      <c r="Z72" s="857">
        <f>'Feb midyear adj_Connections'!E73</f>
        <v>-3</v>
      </c>
      <c r="AA72" s="856">
        <f t="shared" si="40"/>
        <v>-3915</v>
      </c>
      <c r="AB72" s="856">
        <f t="shared" si="41"/>
        <v>1305</v>
      </c>
      <c r="AC72" s="856">
        <f t="shared" si="42"/>
        <v>3915</v>
      </c>
      <c r="AD72" s="856">
        <f t="shared" si="43"/>
        <v>-10</v>
      </c>
      <c r="AE72" s="856">
        <f t="shared" si="44"/>
        <v>3905</v>
      </c>
      <c r="AF72" s="855">
        <v>0</v>
      </c>
      <c r="AG72" s="858">
        <f t="shared" si="45"/>
        <v>3905</v>
      </c>
      <c r="AH72" s="858">
        <f>189*8</f>
        <v>1512</v>
      </c>
      <c r="AI72" s="858">
        <f t="shared" si="46"/>
        <v>2393</v>
      </c>
      <c r="AJ72" s="858">
        <f t="shared" si="47"/>
        <v>598</v>
      </c>
      <c r="AK72" s="859">
        <f t="shared" si="48"/>
        <v>12868.05106854376</v>
      </c>
      <c r="AL72" s="859">
        <f t="shared" si="25"/>
        <v>1843</v>
      </c>
      <c r="AM72" s="1517"/>
      <c r="AN72" s="1517">
        <v>-6</v>
      </c>
      <c r="AO72" s="1521">
        <f t="shared" si="26"/>
        <v>-4</v>
      </c>
    </row>
    <row r="73" spans="1:41" s="795" customFormat="1" ht="16.5" customHeight="1">
      <c r="A73" s="836">
        <v>69</v>
      </c>
      <c r="B73" s="837" t="s">
        <v>243</v>
      </c>
      <c r="C73" s="849">
        <v>3</v>
      </c>
      <c r="D73" s="850">
        <f>'Table 3 Levels 1&amp;2'!AL76*90%</f>
        <v>4943.9917793963914</v>
      </c>
      <c r="E73" s="850">
        <f t="shared" si="27"/>
        <v>14831.975338189175</v>
      </c>
      <c r="F73" s="851">
        <f>'Table 4 Level 3'!P74*90%</f>
        <v>635.10299999999995</v>
      </c>
      <c r="G73" s="851">
        <f t="shared" si="28"/>
        <v>1905.3089999999997</v>
      </c>
      <c r="H73" s="851">
        <f t="shared" si="29"/>
        <v>16737.284338189176</v>
      </c>
      <c r="I73" s="851">
        <f>'Oct midyear adj_Connections'!K74</f>
        <v>-16737.284338189173</v>
      </c>
      <c r="J73" s="851">
        <f>'Feb midyear adj_Connections'!K74</f>
        <v>0</v>
      </c>
      <c r="K73" s="851">
        <f t="shared" si="30"/>
        <v>-16737.284338189173</v>
      </c>
      <c r="L73" s="851">
        <f t="shared" si="31"/>
        <v>3.637978807091713E-12</v>
      </c>
      <c r="M73" s="851">
        <f t="shared" si="32"/>
        <v>0</v>
      </c>
      <c r="N73" s="852">
        <f t="shared" si="33"/>
        <v>3.637978807091713E-12</v>
      </c>
      <c r="O73" s="852">
        <v>0</v>
      </c>
      <c r="P73" s="853">
        <f t="shared" si="34"/>
        <v>3.637978807091713E-12</v>
      </c>
      <c r="Q73" s="854"/>
      <c r="R73" s="853">
        <f t="shared" si="35"/>
        <v>3.637978807091713E-12</v>
      </c>
      <c r="S73" s="853">
        <f>1391*8</f>
        <v>11128</v>
      </c>
      <c r="T73" s="853">
        <f t="shared" si="36"/>
        <v>-11127.999999999996</v>
      </c>
      <c r="U73" s="853">
        <f t="shared" si="37"/>
        <v>-2782</v>
      </c>
      <c r="V73" s="856">
        <f>'[11]FY2011-12_Final'!$K76*90%</f>
        <v>2980.8</v>
      </c>
      <c r="W73" s="856">
        <f t="shared" si="38"/>
        <v>8942.4000000000015</v>
      </c>
      <c r="X73" s="857">
        <f>'Oct midyear adj_Connections'!E74</f>
        <v>-3</v>
      </c>
      <c r="Y73" s="856">
        <f t="shared" si="39"/>
        <v>-8942.4000000000015</v>
      </c>
      <c r="Z73" s="857">
        <f>'Feb midyear adj_Connections'!E74</f>
        <v>0</v>
      </c>
      <c r="AA73" s="856">
        <f t="shared" si="40"/>
        <v>0</v>
      </c>
      <c r="AB73" s="856">
        <f t="shared" si="41"/>
        <v>-8942.4000000000015</v>
      </c>
      <c r="AC73" s="856">
        <f t="shared" si="42"/>
        <v>0</v>
      </c>
      <c r="AD73" s="856">
        <f t="shared" si="43"/>
        <v>0</v>
      </c>
      <c r="AE73" s="856">
        <f t="shared" si="44"/>
        <v>0</v>
      </c>
      <c r="AF73" s="855">
        <v>0</v>
      </c>
      <c r="AG73" s="858">
        <f t="shared" si="45"/>
        <v>0</v>
      </c>
      <c r="AH73" s="858">
        <f>526*8</f>
        <v>4208</v>
      </c>
      <c r="AI73" s="858">
        <f t="shared" si="46"/>
        <v>-4208</v>
      </c>
      <c r="AJ73" s="858">
        <f t="shared" si="47"/>
        <v>-1052</v>
      </c>
      <c r="AK73" s="859">
        <f t="shared" si="48"/>
        <v>3.637978807091713E-12</v>
      </c>
      <c r="AL73" s="859">
        <f t="shared" si="25"/>
        <v>-3834</v>
      </c>
      <c r="AM73" s="1517"/>
      <c r="AN73" s="1517">
        <v>-16</v>
      </c>
      <c r="AO73" s="1521">
        <f t="shared" si="26"/>
        <v>16</v>
      </c>
    </row>
    <row r="74" spans="1:41" s="834" customFormat="1" ht="16.5" customHeight="1">
      <c r="A74" s="873"/>
      <c r="B74" s="874" t="s">
        <v>708</v>
      </c>
      <c r="C74" s="875">
        <f>SUM(C5:C73)</f>
        <v>600</v>
      </c>
      <c r="D74" s="876"/>
      <c r="E74" s="876">
        <f t="shared" ref="E74:AL74" si="49">SUM(E5:E73)</f>
        <v>2397027.8982857447</v>
      </c>
      <c r="F74" s="877"/>
      <c r="G74" s="877">
        <f t="shared" si="49"/>
        <v>372958.95248741651</v>
      </c>
      <c r="H74" s="877">
        <f t="shared" si="49"/>
        <v>2769986.8507731622</v>
      </c>
      <c r="I74" s="877">
        <f>SUM(I5:I73)</f>
        <v>1934.7349524267665</v>
      </c>
      <c r="J74" s="877">
        <f>SUM(J5:J73)</f>
        <v>-4090.3737340866901</v>
      </c>
      <c r="K74" s="877">
        <f>SUM(K5:K73)</f>
        <v>-2155.6387816599236</v>
      </c>
      <c r="L74" s="877">
        <f>SUM(L5:L73)</f>
        <v>2767831.211991501</v>
      </c>
      <c r="M74" s="877">
        <f t="shared" si="49"/>
        <v>-6917</v>
      </c>
      <c r="N74" s="878">
        <f t="shared" si="49"/>
        <v>2760914.211991501</v>
      </c>
      <c r="O74" s="878">
        <f t="shared" si="49"/>
        <v>0</v>
      </c>
      <c r="P74" s="879">
        <f t="shared" si="49"/>
        <v>2760914.211991501</v>
      </c>
      <c r="Q74" s="880">
        <f>SUM(Q5:Q73)</f>
        <v>0</v>
      </c>
      <c r="R74" s="879">
        <f>SUM(R5:R73)</f>
        <v>2760914.211991501</v>
      </c>
      <c r="S74" s="879">
        <f>SUM(S5:S73)</f>
        <v>1842016</v>
      </c>
      <c r="T74" s="879">
        <f>SUM(T5:T73)</f>
        <v>918898.21199150139</v>
      </c>
      <c r="U74" s="879">
        <f t="shared" si="49"/>
        <v>229723</v>
      </c>
      <c r="V74" s="882"/>
      <c r="W74" s="882">
        <f t="shared" si="49"/>
        <v>2165243.4000000008</v>
      </c>
      <c r="X74" s="883">
        <f>SUM(X5:X73)</f>
        <v>-3</v>
      </c>
      <c r="Y74" s="882">
        <f>SUM(Y5:Y73)</f>
        <v>31814.099999999969</v>
      </c>
      <c r="Z74" s="883">
        <f>SUM(Z5:Z73)</f>
        <v>-3</v>
      </c>
      <c r="AA74" s="882">
        <f>SUM(AA5:AA73)</f>
        <v>-9164.6999999999953</v>
      </c>
      <c r="AB74" s="882">
        <f t="shared" ref="AB74:AC74" si="50">SUM(AB5:AB73)</f>
        <v>22649.399999999991</v>
      </c>
      <c r="AC74" s="882">
        <f t="shared" si="50"/>
        <v>2187892.8000000003</v>
      </c>
      <c r="AD74" s="882">
        <f t="shared" si="49"/>
        <v>-5467</v>
      </c>
      <c r="AE74" s="882">
        <f t="shared" si="49"/>
        <v>2182425.8000000003</v>
      </c>
      <c r="AF74" s="882">
        <f t="shared" si="49"/>
        <v>0</v>
      </c>
      <c r="AG74" s="884">
        <f t="shared" si="49"/>
        <v>2182425.8000000003</v>
      </c>
      <c r="AH74" s="884">
        <f>SUM(AH5:AH73)</f>
        <v>1415528</v>
      </c>
      <c r="AI74" s="884">
        <f>SUM(AI5:AI73)</f>
        <v>766897.80000000016</v>
      </c>
      <c r="AJ74" s="884">
        <f t="shared" si="49"/>
        <v>191726</v>
      </c>
      <c r="AK74" s="912">
        <f t="shared" si="49"/>
        <v>4943340.0119915018</v>
      </c>
      <c r="AL74" s="912">
        <f t="shared" si="49"/>
        <v>421449</v>
      </c>
      <c r="AM74" s="1510"/>
      <c r="AN74" s="1510">
        <v>-5319</v>
      </c>
      <c r="AO74" s="1521">
        <f t="shared" si="26"/>
        <v>-148</v>
      </c>
    </row>
    <row r="75" spans="1:41" s="892" customFormat="1" ht="6.75" customHeight="1">
      <c r="A75" s="885"/>
      <c r="B75" s="886"/>
      <c r="C75" s="887"/>
      <c r="D75" s="888"/>
      <c r="E75" s="888"/>
      <c r="F75" s="888"/>
      <c r="G75" s="888"/>
      <c r="H75" s="888"/>
      <c r="I75" s="888"/>
      <c r="J75" s="888"/>
      <c r="K75" s="888"/>
      <c r="L75" s="888"/>
      <c r="M75" s="888"/>
      <c r="N75" s="888"/>
      <c r="O75" s="888"/>
      <c r="P75" s="888"/>
      <c r="Q75" s="889"/>
      <c r="R75" s="888"/>
      <c r="S75" s="888"/>
      <c r="T75" s="888"/>
      <c r="U75" s="888"/>
      <c r="V75" s="890"/>
      <c r="W75" s="890"/>
      <c r="X75" s="890"/>
      <c r="Y75" s="890"/>
      <c r="Z75" s="890"/>
      <c r="AA75" s="890"/>
      <c r="AB75" s="890"/>
      <c r="AC75" s="890"/>
      <c r="AD75" s="891"/>
      <c r="AE75" s="891"/>
      <c r="AF75" s="891"/>
      <c r="AG75" s="913"/>
      <c r="AH75" s="913"/>
      <c r="AI75" s="913"/>
      <c r="AJ75" s="913"/>
      <c r="AK75" s="890"/>
      <c r="AL75" s="890"/>
      <c r="AM75" s="1522"/>
      <c r="AN75" s="1522"/>
      <c r="AO75" s="1522"/>
    </row>
    <row r="76" spans="1:41" s="795" customFormat="1" ht="21.75" customHeight="1">
      <c r="A76" s="885"/>
      <c r="B76" s="893" t="s">
        <v>705</v>
      </c>
      <c r="C76" s="785"/>
      <c r="D76" s="786"/>
      <c r="E76" s="786"/>
      <c r="F76" s="787"/>
      <c r="G76" s="787"/>
      <c r="H76" s="787"/>
      <c r="I76" s="787"/>
      <c r="J76" s="787"/>
      <c r="K76" s="787"/>
      <c r="L76" s="787"/>
      <c r="M76" s="787">
        <f>-M74</f>
        <v>6917</v>
      </c>
      <c r="N76" s="788">
        <f>M76</f>
        <v>6917</v>
      </c>
      <c r="O76" s="788"/>
      <c r="P76" s="789">
        <f>N76</f>
        <v>6917</v>
      </c>
      <c r="Q76" s="894"/>
      <c r="R76" s="789"/>
      <c r="S76" s="789">
        <v>6928</v>
      </c>
      <c r="T76" s="789">
        <f>P76-S76</f>
        <v>-11</v>
      </c>
      <c r="U76" s="789"/>
      <c r="V76" s="808"/>
      <c r="W76" s="791"/>
      <c r="X76" s="791"/>
      <c r="Y76" s="791"/>
      <c r="Z76" s="791"/>
      <c r="AA76" s="791"/>
      <c r="AB76" s="791"/>
      <c r="AC76" s="791"/>
      <c r="AD76" s="791">
        <f>-AD74</f>
        <v>5467</v>
      </c>
      <c r="AE76" s="791">
        <f>AD76</f>
        <v>5467</v>
      </c>
      <c r="AF76" s="791"/>
      <c r="AG76" s="895">
        <f>AE76</f>
        <v>5467</v>
      </c>
      <c r="AH76" s="895">
        <v>5319</v>
      </c>
      <c r="AI76" s="895">
        <f>AG76-AH76</f>
        <v>148</v>
      </c>
      <c r="AJ76" s="895"/>
      <c r="AK76" s="793">
        <f t="shared" ref="AK76" si="51">AG76+P76</f>
        <v>12384</v>
      </c>
      <c r="AL76" s="793"/>
      <c r="AM76" s="1517"/>
      <c r="AN76" s="1517"/>
      <c r="AO76" s="1517"/>
    </row>
    <row r="77" spans="1:41" s="892" customFormat="1" ht="6" customHeight="1">
      <c r="A77" s="885"/>
      <c r="B77" s="886"/>
      <c r="C77" s="887"/>
      <c r="D77" s="888"/>
      <c r="E77" s="888"/>
      <c r="F77" s="888"/>
      <c r="G77" s="888"/>
      <c r="H77" s="888"/>
      <c r="I77" s="888"/>
      <c r="J77" s="888"/>
      <c r="K77" s="888"/>
      <c r="L77" s="888"/>
      <c r="M77" s="888"/>
      <c r="N77" s="888"/>
      <c r="O77" s="888"/>
      <c r="P77" s="888"/>
      <c r="Q77" s="889"/>
      <c r="R77" s="888"/>
      <c r="S77" s="888"/>
      <c r="T77" s="888"/>
      <c r="U77" s="888"/>
      <c r="V77" s="890"/>
      <c r="W77" s="890"/>
      <c r="X77" s="890"/>
      <c r="Y77" s="890"/>
      <c r="Z77" s="890"/>
      <c r="AA77" s="890"/>
      <c r="AB77" s="890"/>
      <c r="AC77" s="890"/>
      <c r="AD77" s="891"/>
      <c r="AE77" s="891"/>
      <c r="AF77" s="891"/>
      <c r="AG77" s="913"/>
      <c r="AH77" s="913"/>
      <c r="AI77" s="913"/>
      <c r="AJ77" s="913"/>
      <c r="AK77" s="890"/>
      <c r="AL77" s="890"/>
      <c r="AM77" s="1522"/>
      <c r="AN77" s="1522"/>
      <c r="AO77" s="1522"/>
    </row>
    <row r="78" spans="1:41" s="908" customFormat="1" ht="33" customHeight="1">
      <c r="A78" s="896"/>
      <c r="B78" s="897" t="s">
        <v>709</v>
      </c>
      <c r="C78" s="898">
        <f>SUM(C74:C77)</f>
        <v>600</v>
      </c>
      <c r="D78" s="899"/>
      <c r="E78" s="899">
        <f t="shared" ref="E78:AK78" si="52">SUM(E74:E77)</f>
        <v>2397027.8982857447</v>
      </c>
      <c r="F78" s="900"/>
      <c r="G78" s="900">
        <f t="shared" si="52"/>
        <v>372958.95248741651</v>
      </c>
      <c r="H78" s="900">
        <f t="shared" si="52"/>
        <v>2769986.8507731622</v>
      </c>
      <c r="I78" s="900"/>
      <c r="J78" s="900"/>
      <c r="K78" s="900"/>
      <c r="L78" s="900"/>
      <c r="M78" s="900">
        <f t="shared" si="52"/>
        <v>0</v>
      </c>
      <c r="N78" s="901">
        <f t="shared" si="52"/>
        <v>2767831.211991501</v>
      </c>
      <c r="O78" s="901">
        <f t="shared" si="52"/>
        <v>0</v>
      </c>
      <c r="P78" s="902">
        <f t="shared" si="52"/>
        <v>2767831.211991501</v>
      </c>
      <c r="Q78" s="903"/>
      <c r="R78" s="902"/>
      <c r="S78" s="902"/>
      <c r="T78" s="902"/>
      <c r="U78" s="902"/>
      <c r="V78" s="904"/>
      <c r="W78" s="905">
        <f t="shared" si="52"/>
        <v>2165243.4000000008</v>
      </c>
      <c r="X78" s="905"/>
      <c r="Y78" s="905"/>
      <c r="Z78" s="905"/>
      <c r="AA78" s="905"/>
      <c r="AB78" s="905"/>
      <c r="AC78" s="905"/>
      <c r="AD78" s="905">
        <f t="shared" si="52"/>
        <v>0</v>
      </c>
      <c r="AE78" s="905">
        <f t="shared" si="52"/>
        <v>2187892.8000000003</v>
      </c>
      <c r="AF78" s="905">
        <f t="shared" si="52"/>
        <v>0</v>
      </c>
      <c r="AG78" s="906">
        <f t="shared" si="52"/>
        <v>2187892.8000000003</v>
      </c>
      <c r="AH78" s="906"/>
      <c r="AI78" s="906"/>
      <c r="AJ78" s="906"/>
      <c r="AK78" s="907">
        <f t="shared" si="52"/>
        <v>4955724.0119915018</v>
      </c>
      <c r="AL78" s="907"/>
      <c r="AM78" s="1523"/>
      <c r="AN78" s="1523"/>
      <c r="AO78" s="1523"/>
    </row>
    <row r="79" spans="1:41" s="1507" customFormat="1" ht="13.5" hidden="1" customHeight="1">
      <c r="B79" s="1526"/>
      <c r="C79" s="1527"/>
      <c r="D79" s="1528"/>
      <c r="E79" s="1527"/>
      <c r="F79" s="1527"/>
      <c r="G79" s="1527"/>
      <c r="H79" s="1508"/>
      <c r="I79" s="1508"/>
      <c r="J79" s="1508"/>
      <c r="K79" s="1508"/>
      <c r="L79" s="1508"/>
      <c r="M79" s="1508"/>
      <c r="N79" s="1508"/>
      <c r="O79" s="1508"/>
      <c r="P79" s="1508"/>
      <c r="Q79" s="1508"/>
      <c r="R79" s="1508"/>
      <c r="S79" s="1508"/>
      <c r="T79" s="1508"/>
      <c r="U79" s="1508"/>
    </row>
    <row r="80" spans="1:41" s="1507" customFormat="1" ht="17.25" hidden="1" customHeight="1">
      <c r="B80" s="1507" t="str">
        <f ca="1">CELL("filename")</f>
        <v xml:space="preserve">I:\COMM\Content\Website Content\0 Library\Minimum Foundation Program\[2011-2012 Final Budget Spreadsheet.xlsx]Table 1 State Summary </v>
      </c>
      <c r="C80" s="1769"/>
      <c r="D80" s="1769"/>
      <c r="E80" s="1769"/>
      <c r="F80" s="1769"/>
      <c r="G80" s="1769"/>
      <c r="H80" s="1769"/>
      <c r="I80" s="1769"/>
      <c r="J80" s="1769"/>
      <c r="K80" s="1769"/>
      <c r="L80" s="1769"/>
      <c r="M80" s="1769"/>
      <c r="N80" s="1769"/>
      <c r="O80" s="1769"/>
      <c r="P80" s="1769"/>
      <c r="Q80" s="1769"/>
      <c r="R80" s="1769"/>
      <c r="S80" s="1769"/>
      <c r="T80" s="1769"/>
      <c r="U80" s="1769"/>
    </row>
    <row r="81" spans="2:41" s="1524" customFormat="1" ht="60.75" hidden="1" customHeight="1">
      <c r="C81" s="1590"/>
      <c r="D81" s="1591"/>
      <c r="E81" s="1591"/>
      <c r="F81" s="1591"/>
      <c r="G81" s="1591"/>
      <c r="H81" s="1591"/>
      <c r="I81" s="1591"/>
      <c r="J81" s="1591"/>
      <c r="K81" s="1591"/>
      <c r="L81" s="1591"/>
      <c r="M81" s="1591"/>
    </row>
    <row r="82" spans="2:41" s="909" customFormat="1" ht="60.75" customHeight="1">
      <c r="C82" s="1770"/>
      <c r="D82" s="1770"/>
      <c r="E82" s="1770"/>
      <c r="F82" s="1770"/>
      <c r="G82" s="1770"/>
      <c r="H82" s="1770"/>
      <c r="I82" s="1770"/>
      <c r="J82" s="1770"/>
      <c r="K82" s="1770"/>
      <c r="L82" s="1770"/>
      <c r="M82" s="1770"/>
      <c r="N82" s="1770"/>
      <c r="O82" s="1770"/>
      <c r="P82" s="1770"/>
      <c r="Q82" s="1770"/>
      <c r="R82" s="1770"/>
      <c r="S82" s="1770"/>
      <c r="T82" s="1770"/>
      <c r="U82" s="1770"/>
      <c r="AM82" s="1524"/>
      <c r="AN82" s="1524"/>
      <c r="AO82" s="1524"/>
    </row>
    <row r="83" spans="2:41" ht="60.75" customHeight="1">
      <c r="C83" s="818"/>
    </row>
    <row r="84" spans="2:41" ht="60.75" customHeight="1">
      <c r="B84" s="825"/>
    </row>
  </sheetData>
  <mergeCells count="44">
    <mergeCell ref="N2:N3"/>
    <mergeCell ref="I1:K1"/>
    <mergeCell ref="X1:AB1"/>
    <mergeCell ref="A2:A3"/>
    <mergeCell ref="B2:B3"/>
    <mergeCell ref="C2:C3"/>
    <mergeCell ref="D2:D3"/>
    <mergeCell ref="E2:E3"/>
    <mergeCell ref="F2:F3"/>
    <mergeCell ref="G2:G3"/>
    <mergeCell ref="H2:H3"/>
    <mergeCell ref="I2:I3"/>
    <mergeCell ref="J2:J3"/>
    <mergeCell ref="K2:K3"/>
    <mergeCell ref="L2:L3"/>
    <mergeCell ref="M2:M3"/>
    <mergeCell ref="Z2:Z3"/>
    <mergeCell ref="O2:O3"/>
    <mergeCell ref="P2:P3"/>
    <mergeCell ref="Q2:Q3"/>
    <mergeCell ref="R2:R3"/>
    <mergeCell ref="S2:S3"/>
    <mergeCell ref="T2:T3"/>
    <mergeCell ref="U2:U3"/>
    <mergeCell ref="V2:V3"/>
    <mergeCell ref="W2:W3"/>
    <mergeCell ref="X2:X3"/>
    <mergeCell ref="Y2:Y3"/>
    <mergeCell ref="AN2:AN3"/>
    <mergeCell ref="AO3:AO4"/>
    <mergeCell ref="C80:U80"/>
    <mergeCell ref="C82:U82"/>
    <mergeCell ref="AG2:AG3"/>
    <mergeCell ref="AH2:AH3"/>
    <mergeCell ref="AI2:AI3"/>
    <mergeCell ref="AJ2:AJ3"/>
    <mergeCell ref="AK2:AK3"/>
    <mergeCell ref="AL2:AL3"/>
    <mergeCell ref="AA2:AA3"/>
    <mergeCell ref="AB2:AB3"/>
    <mergeCell ref="AC2:AC3"/>
    <mergeCell ref="AD2:AD3"/>
    <mergeCell ref="AE2:AE3"/>
    <mergeCell ref="AF2:AF3"/>
  </mergeCells>
  <printOptions horizontalCentered="1"/>
  <pageMargins left="0.2" right="0.32" top="0.86" bottom="0.25" header="0.24" footer="0.25"/>
  <pageSetup paperSize="5" scale="48" firstPageNumber="30" orientation="portrait" useFirstPageNumber="1" r:id="rId1"/>
  <headerFooter alignWithMargins="0">
    <oddHeader>&amp;L&amp;"Arial,Bold"&amp;20Table 5C-3: FY2011-12 MFP Budget Letter 
Type 2 Charter School Allocation (Louisiana Connections Academy) (March 2012)</oddHeader>
    <oddFooter>&amp;R&amp;P</oddFooter>
  </headerFooter>
  <colBreaks count="3" manualBreakCount="3">
    <brk id="12" max="77" man="1"/>
    <brk id="21" max="77" man="1"/>
    <brk id="31" max="77" man="1"/>
  </colBreaks>
</worksheet>
</file>

<file path=xl/worksheets/sheet14.xml><?xml version="1.0" encoding="utf-8"?>
<worksheet xmlns="http://schemas.openxmlformats.org/spreadsheetml/2006/main" xmlns:r="http://schemas.openxmlformats.org/officeDocument/2006/relationships">
  <dimension ref="A1:W34"/>
  <sheetViews>
    <sheetView view="pageBreakPreview" zoomScale="60" zoomScaleNormal="70" workbookViewId="0">
      <pane xSplit="2" ySplit="8" topLeftCell="C9" activePane="bottomRight" state="frozen"/>
      <selection pane="topRight"/>
      <selection pane="bottomLeft"/>
      <selection pane="bottomRight" activeCell="A26" sqref="A26:XFD34"/>
    </sheetView>
  </sheetViews>
  <sheetFormatPr defaultRowHeight="12.75"/>
  <cols>
    <col min="1" max="1" width="7.5703125" style="914" bestFit="1" customWidth="1"/>
    <col min="2" max="2" width="49.42578125" style="914" customWidth="1"/>
    <col min="3" max="3" width="13.140625" style="914" bestFit="1" customWidth="1"/>
    <col min="4" max="4" width="14.42578125" style="914" customWidth="1"/>
    <col min="5" max="5" width="19" style="914" customWidth="1"/>
    <col min="6" max="6" width="16" style="914" customWidth="1"/>
    <col min="7" max="7" width="19.140625" style="914" customWidth="1"/>
    <col min="8" max="8" width="21.140625" style="914" customWidth="1"/>
    <col min="9" max="9" width="19.140625" style="914" customWidth="1"/>
    <col min="10" max="10" width="17.5703125" style="914" customWidth="1"/>
    <col min="11" max="12" width="19.140625" style="914" customWidth="1"/>
    <col min="13" max="13" width="18.140625" style="914" customWidth="1"/>
    <col min="14" max="14" width="20.140625" style="914" customWidth="1"/>
    <col min="15" max="15" width="13" style="914" bestFit="1" customWidth="1"/>
    <col min="16" max="16" width="20" style="914" customWidth="1"/>
    <col min="17" max="17" width="13.85546875" style="914" customWidth="1"/>
    <col min="18" max="18" width="20.140625" style="914" customWidth="1"/>
    <col min="19" max="19" width="19.5703125" style="914" customWidth="1"/>
    <col min="20" max="20" width="20.28515625" style="914" customWidth="1"/>
    <col min="21" max="21" width="20.5703125" style="914" customWidth="1"/>
    <col min="22" max="22" width="18.5703125" style="914" customWidth="1"/>
    <col min="23" max="23" width="24.5703125" style="914" customWidth="1"/>
    <col min="24" max="16384" width="9.140625" style="914"/>
  </cols>
  <sheetData>
    <row r="1" spans="1:23" ht="26.25">
      <c r="B1" s="1822" t="s">
        <v>710</v>
      </c>
      <c r="C1" s="1823"/>
      <c r="D1" s="1823"/>
      <c r="E1" s="1823"/>
      <c r="F1" s="1823"/>
      <c r="G1" s="1823"/>
      <c r="H1" s="1823"/>
      <c r="I1" s="1823"/>
      <c r="J1" s="1823"/>
      <c r="K1" s="1823"/>
      <c r="L1" s="1823"/>
      <c r="M1" s="1823"/>
      <c r="N1" s="1823"/>
      <c r="O1" s="1823"/>
      <c r="P1" s="1823"/>
      <c r="Q1" s="915"/>
      <c r="R1" s="915"/>
      <c r="S1" s="915"/>
      <c r="T1" s="915"/>
    </row>
    <row r="2" spans="1:23" ht="23.25">
      <c r="B2" s="1824" t="s">
        <v>711</v>
      </c>
      <c r="C2" s="1824"/>
      <c r="D2" s="1824"/>
      <c r="E2" s="1824"/>
      <c r="F2" s="1824"/>
      <c r="G2" s="1824"/>
      <c r="H2" s="1824"/>
      <c r="I2" s="1824"/>
      <c r="J2" s="1824"/>
      <c r="K2" s="1824"/>
      <c r="L2" s="1824"/>
      <c r="M2" s="1824"/>
      <c r="N2" s="1824"/>
      <c r="O2" s="1824"/>
      <c r="P2" s="1824"/>
      <c r="Q2" s="916"/>
      <c r="R2" s="916"/>
      <c r="S2" s="916"/>
      <c r="T2" s="916"/>
    </row>
    <row r="3" spans="1:23" ht="18.75" customHeight="1">
      <c r="B3" s="1825"/>
      <c r="C3" s="1825"/>
      <c r="D3" s="1825"/>
      <c r="E3" s="1825"/>
      <c r="F3" s="1825"/>
      <c r="G3" s="1825"/>
      <c r="H3" s="1825"/>
      <c r="I3" s="1825"/>
      <c r="J3" s="1825"/>
      <c r="K3" s="1825"/>
      <c r="L3" s="1825"/>
      <c r="M3" s="1825"/>
      <c r="N3" s="1825"/>
      <c r="O3" s="1825"/>
      <c r="P3" s="1825"/>
      <c r="Q3" s="917"/>
      <c r="R3" s="917"/>
      <c r="S3" s="917"/>
      <c r="T3" s="917"/>
    </row>
    <row r="4" spans="1:23" ht="23.25" hidden="1">
      <c r="B4" s="1826"/>
      <c r="C4" s="1826"/>
      <c r="D4" s="1826"/>
      <c r="E4" s="1826"/>
      <c r="F4" s="1826"/>
      <c r="G4" s="1826"/>
      <c r="H4" s="1826"/>
      <c r="I4" s="1826"/>
      <c r="J4" s="1826"/>
      <c r="K4" s="1826"/>
      <c r="L4" s="1826"/>
      <c r="M4" s="1826"/>
      <c r="N4" s="1826"/>
      <c r="O4" s="1826"/>
      <c r="P4" s="1826"/>
      <c r="Q4" s="918"/>
      <c r="R4" s="918"/>
      <c r="S4" s="918"/>
      <c r="T4" s="918"/>
    </row>
    <row r="5" spans="1:23" ht="70.5" customHeight="1">
      <c r="B5" s="919"/>
      <c r="C5" s="919"/>
      <c r="D5" s="919"/>
      <c r="E5" s="919"/>
      <c r="F5" s="920"/>
      <c r="G5" s="920"/>
      <c r="H5" s="920"/>
      <c r="I5" s="1790" t="s">
        <v>156</v>
      </c>
      <c r="J5" s="1791"/>
      <c r="K5" s="1792"/>
      <c r="L5" s="835"/>
      <c r="M5" s="920"/>
      <c r="N5" s="920"/>
      <c r="O5" s="920"/>
      <c r="P5" s="921"/>
      <c r="Q5" s="921"/>
      <c r="R5" s="921"/>
      <c r="S5" s="921"/>
      <c r="T5" s="921"/>
    </row>
    <row r="6" spans="1:23" ht="63" customHeight="1">
      <c r="A6" s="1827" t="s">
        <v>157</v>
      </c>
      <c r="B6" s="1827" t="s">
        <v>712</v>
      </c>
      <c r="C6" s="1805" t="s">
        <v>713</v>
      </c>
      <c r="D6" s="1796" t="s">
        <v>714</v>
      </c>
      <c r="E6" s="1831" t="s">
        <v>715</v>
      </c>
      <c r="F6" s="1820" t="s">
        <v>716</v>
      </c>
      <c r="G6" s="1821"/>
      <c r="H6" s="1805" t="s">
        <v>717</v>
      </c>
      <c r="I6" s="1801" t="s">
        <v>552</v>
      </c>
      <c r="J6" s="1801" t="s">
        <v>553</v>
      </c>
      <c r="K6" s="1801" t="s">
        <v>554</v>
      </c>
      <c r="L6" s="1801" t="s">
        <v>697</v>
      </c>
      <c r="M6" s="1805" t="s">
        <v>718</v>
      </c>
      <c r="N6" s="1805" t="s">
        <v>719</v>
      </c>
      <c r="O6" s="1801" t="s">
        <v>720</v>
      </c>
      <c r="P6" s="1805" t="s">
        <v>721</v>
      </c>
      <c r="Q6" s="1785" t="s">
        <v>442</v>
      </c>
      <c r="R6" s="1805" t="s">
        <v>722</v>
      </c>
      <c r="S6" s="1805" t="s">
        <v>723</v>
      </c>
      <c r="T6" s="1805" t="s">
        <v>724</v>
      </c>
      <c r="U6" s="1805" t="s">
        <v>725</v>
      </c>
      <c r="V6" s="1808" t="s">
        <v>726</v>
      </c>
      <c r="W6" s="1811" t="s">
        <v>679</v>
      </c>
    </row>
    <row r="7" spans="1:23" ht="53.25" customHeight="1">
      <c r="A7" s="1828"/>
      <c r="B7" s="1828"/>
      <c r="C7" s="1806"/>
      <c r="D7" s="1830"/>
      <c r="E7" s="1832"/>
      <c r="F7" s="1813" t="s">
        <v>727</v>
      </c>
      <c r="G7" s="1813" t="s">
        <v>622</v>
      </c>
      <c r="H7" s="1806"/>
      <c r="I7" s="1816"/>
      <c r="J7" s="1816"/>
      <c r="K7" s="1816"/>
      <c r="L7" s="1816"/>
      <c r="M7" s="1806"/>
      <c r="N7" s="1806"/>
      <c r="O7" s="1816"/>
      <c r="P7" s="1806"/>
      <c r="Q7" s="1818"/>
      <c r="R7" s="1806"/>
      <c r="S7" s="1806"/>
      <c r="T7" s="1806"/>
      <c r="U7" s="1806"/>
      <c r="V7" s="1809"/>
      <c r="W7" s="1812"/>
    </row>
    <row r="8" spans="1:23" ht="70.5" customHeight="1">
      <c r="A8" s="1829"/>
      <c r="B8" s="1829"/>
      <c r="C8" s="1807"/>
      <c r="D8" s="1797"/>
      <c r="E8" s="1833"/>
      <c r="F8" s="1814"/>
      <c r="G8" s="1815"/>
      <c r="H8" s="1807"/>
      <c r="I8" s="1817"/>
      <c r="J8" s="1817"/>
      <c r="K8" s="1817"/>
      <c r="L8" s="1817"/>
      <c r="M8" s="1807"/>
      <c r="N8" s="1807"/>
      <c r="O8" s="1817"/>
      <c r="P8" s="1807"/>
      <c r="Q8" s="1819"/>
      <c r="R8" s="1807"/>
      <c r="S8" s="1807"/>
      <c r="T8" s="1807"/>
      <c r="U8" s="1807"/>
      <c r="V8" s="1810"/>
      <c r="W8" s="1812"/>
    </row>
    <row r="9" spans="1:23">
      <c r="A9" s="779"/>
      <c r="B9" s="779"/>
      <c r="C9" s="781">
        <v>1</v>
      </c>
      <c r="D9" s="781">
        <f t="shared" ref="D9:W9" si="0">C9+1</f>
        <v>2</v>
      </c>
      <c r="E9" s="781">
        <f t="shared" si="0"/>
        <v>3</v>
      </c>
      <c r="F9" s="781">
        <f t="shared" si="0"/>
        <v>4</v>
      </c>
      <c r="G9" s="781">
        <f t="shared" si="0"/>
        <v>5</v>
      </c>
      <c r="H9" s="781">
        <f t="shared" si="0"/>
        <v>6</v>
      </c>
      <c r="I9" s="781">
        <f t="shared" si="0"/>
        <v>7</v>
      </c>
      <c r="J9" s="781">
        <f t="shared" si="0"/>
        <v>8</v>
      </c>
      <c r="K9" s="781">
        <f t="shared" si="0"/>
        <v>9</v>
      </c>
      <c r="L9" s="781">
        <f t="shared" si="0"/>
        <v>10</v>
      </c>
      <c r="M9" s="781">
        <f t="shared" si="0"/>
        <v>11</v>
      </c>
      <c r="N9" s="781">
        <f t="shared" si="0"/>
        <v>12</v>
      </c>
      <c r="O9" s="781">
        <f t="shared" si="0"/>
        <v>13</v>
      </c>
      <c r="P9" s="781">
        <f t="shared" si="0"/>
        <v>14</v>
      </c>
      <c r="Q9" s="781">
        <f t="shared" si="0"/>
        <v>15</v>
      </c>
      <c r="R9" s="781">
        <f t="shared" si="0"/>
        <v>16</v>
      </c>
      <c r="S9" s="781">
        <f t="shared" si="0"/>
        <v>17</v>
      </c>
      <c r="T9" s="781">
        <f t="shared" si="0"/>
        <v>18</v>
      </c>
      <c r="U9" s="781">
        <f t="shared" si="0"/>
        <v>19</v>
      </c>
      <c r="V9" s="781">
        <f t="shared" si="0"/>
        <v>20</v>
      </c>
      <c r="W9" s="781">
        <f t="shared" si="0"/>
        <v>21</v>
      </c>
    </row>
    <row r="10" spans="1:23" ht="52.5" customHeight="1">
      <c r="A10" s="796" t="s">
        <v>728</v>
      </c>
      <c r="B10" s="796" t="s">
        <v>729</v>
      </c>
      <c r="C10" s="922">
        <v>321</v>
      </c>
      <c r="D10" s="923">
        <f>'[11]FY2011-12_Final'!$L$72</f>
        <v>9184.0445072868661</v>
      </c>
      <c r="E10" s="924">
        <f>C10*D10</f>
        <v>2948078.2868390842</v>
      </c>
      <c r="F10" s="924">
        <v>716.29552188552179</v>
      </c>
      <c r="G10" s="924">
        <f>C10*F10</f>
        <v>229930.86252525251</v>
      </c>
      <c r="H10" s="924">
        <f t="shared" ref="H10:H17" si="1">ROUND(E10+G10,0)</f>
        <v>3178009</v>
      </c>
      <c r="I10" s="924">
        <f>'October midyear adj'!K87</f>
        <v>198006.80058344777</v>
      </c>
      <c r="J10" s="924">
        <f>'February midyear adj '!K87</f>
        <v>-44551.530131275751</v>
      </c>
      <c r="K10" s="924">
        <f>I10+J10</f>
        <v>153455.27045217203</v>
      </c>
      <c r="L10" s="924">
        <f>SUM(H10:J10)</f>
        <v>3331464.270452172</v>
      </c>
      <c r="M10" s="924">
        <f>-ROUND(L10*0.25%,0)</f>
        <v>-8329</v>
      </c>
      <c r="N10" s="924">
        <f>L10+M10</f>
        <v>3323135.270452172</v>
      </c>
      <c r="O10" s="925">
        <v>0</v>
      </c>
      <c r="P10" s="926">
        <f>SUM(N10:O10)</f>
        <v>3323135.270452172</v>
      </c>
      <c r="Q10" s="926">
        <v>0</v>
      </c>
      <c r="R10" s="926">
        <f>P10+Q10</f>
        <v>3323135.270452172</v>
      </c>
      <c r="S10" s="926">
        <f>[8]MFP!$EG95+264385</f>
        <v>2115086</v>
      </c>
      <c r="T10" s="926">
        <f>R10-S10</f>
        <v>1208049.270452172</v>
      </c>
      <c r="U10" s="926">
        <f>ROUND(T10/4,0)</f>
        <v>302012</v>
      </c>
      <c r="V10" s="924">
        <v>0</v>
      </c>
      <c r="W10" s="924">
        <f>R10+V10</f>
        <v>3323135.270452172</v>
      </c>
    </row>
    <row r="11" spans="1:23" ht="52.5" customHeight="1">
      <c r="A11" s="927" t="s">
        <v>730</v>
      </c>
      <c r="B11" s="927" t="s">
        <v>731</v>
      </c>
      <c r="C11" s="922">
        <v>368</v>
      </c>
      <c r="D11" s="923">
        <f>'[11]FY2011-12_Final'!$L$58</f>
        <v>8580.5765423983976</v>
      </c>
      <c r="E11" s="924">
        <f t="shared" ref="E11:E17" si="2">C11*D11</f>
        <v>3157652.1676026103</v>
      </c>
      <c r="F11" s="924">
        <v>598.40363440561384</v>
      </c>
      <c r="G11" s="924">
        <f t="shared" ref="G11:G17" si="3">C11*F11</f>
        <v>220212.53746126589</v>
      </c>
      <c r="H11" s="924">
        <f t="shared" si="1"/>
        <v>3377865</v>
      </c>
      <c r="I11" s="924">
        <f>'October midyear adj'!K88</f>
        <v>-9178.9801768040106</v>
      </c>
      <c r="J11" s="924">
        <f>'February midyear adj '!K88</f>
        <v>4589.4900884020053</v>
      </c>
      <c r="K11" s="924">
        <f t="shared" ref="K11:K17" si="4">I11+J11</f>
        <v>-4589.4900884020053</v>
      </c>
      <c r="L11" s="924">
        <f t="shared" ref="L11:L17" si="5">SUM(H11:J11)</f>
        <v>3373275.5099115977</v>
      </c>
      <c r="M11" s="924">
        <f t="shared" ref="M11:M17" si="6">-ROUND(L11*0.25%,0)</f>
        <v>-8433</v>
      </c>
      <c r="N11" s="924">
        <f t="shared" ref="N11:N17" si="7">L11+M11</f>
        <v>3364842.5099115977</v>
      </c>
      <c r="O11" s="925">
        <v>0</v>
      </c>
      <c r="P11" s="926">
        <f t="shared" ref="P11:P17" si="8">SUM(N11:O11)</f>
        <v>3364842.5099115977</v>
      </c>
      <c r="Q11" s="926">
        <v>0</v>
      </c>
      <c r="R11" s="926">
        <f t="shared" ref="R11:R16" si="9">P11+Q11</f>
        <v>3364842.5099115977</v>
      </c>
      <c r="S11" s="926">
        <f>[8]MFP!$EG96+278062</f>
        <v>2224502</v>
      </c>
      <c r="T11" s="926">
        <f>R11-S11</f>
        <v>1140340.5099115977</v>
      </c>
      <c r="U11" s="926">
        <f t="shared" ref="U11:U17" si="10">ROUND(T11/4,0)</f>
        <v>285085</v>
      </c>
      <c r="V11" s="924">
        <v>0</v>
      </c>
      <c r="W11" s="924">
        <f t="shared" ref="W11:W17" si="11">R11+V11</f>
        <v>3364842.5099115977</v>
      </c>
    </row>
    <row r="12" spans="1:23" ht="52.5" customHeight="1">
      <c r="A12" s="928" t="s">
        <v>732</v>
      </c>
      <c r="B12" s="928" t="s">
        <v>733</v>
      </c>
      <c r="C12" s="922">
        <v>517</v>
      </c>
      <c r="D12" s="923">
        <f>'[11]FY2011-12_Final'!$E$43</f>
        <v>7459.0270959716217</v>
      </c>
      <c r="E12" s="924">
        <f t="shared" si="2"/>
        <v>3856317.0086173285</v>
      </c>
      <c r="F12" s="924">
        <v>714.81015756302509</v>
      </c>
      <c r="G12" s="924">
        <f t="shared" si="3"/>
        <v>369556.85146008397</v>
      </c>
      <c r="H12" s="924">
        <f t="shared" si="1"/>
        <v>4225874</v>
      </c>
      <c r="I12" s="924">
        <f>'October midyear adj'!K89</f>
        <v>899122.09788881114</v>
      </c>
      <c r="J12" s="924">
        <f>'February midyear adj '!K89</f>
        <v>-12260.755880301971</v>
      </c>
      <c r="K12" s="924">
        <f t="shared" si="4"/>
        <v>886861.34200850921</v>
      </c>
      <c r="L12" s="924">
        <f t="shared" si="5"/>
        <v>5112735.3420085097</v>
      </c>
      <c r="M12" s="924">
        <f t="shared" si="6"/>
        <v>-12782</v>
      </c>
      <c r="N12" s="924">
        <f t="shared" si="7"/>
        <v>5099953.3420085097</v>
      </c>
      <c r="O12" s="925">
        <v>0</v>
      </c>
      <c r="P12" s="926">
        <f t="shared" si="8"/>
        <v>5099953.3420085097</v>
      </c>
      <c r="Q12" s="926">
        <v>0</v>
      </c>
      <c r="R12" s="926">
        <f t="shared" si="9"/>
        <v>5099953.3420085097</v>
      </c>
      <c r="S12" s="926">
        <f>[8]MFP!$EG97+429144</f>
        <v>3334740</v>
      </c>
      <c r="T12" s="926">
        <f>R12-S12</f>
        <v>1765213.3420085097</v>
      </c>
      <c r="U12" s="926">
        <f t="shared" si="10"/>
        <v>441303</v>
      </c>
      <c r="V12" s="924">
        <f>'Table 4A Stipends'!G74</f>
        <v>56000</v>
      </c>
      <c r="W12" s="924">
        <f t="shared" si="11"/>
        <v>5155953.3420085097</v>
      </c>
    </row>
    <row r="13" spans="1:23" ht="52.5" customHeight="1">
      <c r="A13" s="927" t="s">
        <v>734</v>
      </c>
      <c r="B13" s="927" t="s">
        <v>735</v>
      </c>
      <c r="C13" s="922">
        <v>683</v>
      </c>
      <c r="D13" s="923">
        <f>'[11]FY2011-12_Final'!$L$12</f>
        <v>6169.7330578848678</v>
      </c>
      <c r="E13" s="924">
        <f t="shared" si="2"/>
        <v>4213927.6785353646</v>
      </c>
      <c r="F13" s="924">
        <v>536.12413544332276</v>
      </c>
      <c r="G13" s="924">
        <f t="shared" si="3"/>
        <v>366172.78450778942</v>
      </c>
      <c r="H13" s="924">
        <f t="shared" si="1"/>
        <v>4580100</v>
      </c>
      <c r="I13" s="924">
        <f>'October midyear adj'!K90</f>
        <v>93882.00070659467</v>
      </c>
      <c r="J13" s="924">
        <f>'February midyear adj '!K90</f>
        <v>-53646.857546625528</v>
      </c>
      <c r="K13" s="924">
        <f t="shared" si="4"/>
        <v>40235.143159969142</v>
      </c>
      <c r="L13" s="924">
        <f t="shared" si="5"/>
        <v>4620335.1431599688</v>
      </c>
      <c r="M13" s="924">
        <f t="shared" si="6"/>
        <v>-11551</v>
      </c>
      <c r="N13" s="924">
        <f t="shared" si="7"/>
        <v>4608784.1431599688</v>
      </c>
      <c r="O13" s="925">
        <v>0</v>
      </c>
      <c r="P13" s="926">
        <f t="shared" si="8"/>
        <v>4608784.1431599688</v>
      </c>
      <c r="Q13" s="926">
        <v>0</v>
      </c>
      <c r="R13" s="926">
        <f t="shared" si="9"/>
        <v>4608784.1431599688</v>
      </c>
      <c r="S13" s="926">
        <f>[8]MFP!$EG98+372602</f>
        <v>2980816</v>
      </c>
      <c r="T13" s="926">
        <f t="shared" ref="T13:T17" si="12">R13-S13</f>
        <v>1627968.1431599688</v>
      </c>
      <c r="U13" s="926">
        <f t="shared" si="10"/>
        <v>406992</v>
      </c>
      <c r="V13" s="924">
        <v>0</v>
      </c>
      <c r="W13" s="924">
        <f t="shared" si="11"/>
        <v>4608784.1431599688</v>
      </c>
    </row>
    <row r="14" spans="1:23" ht="52.5" customHeight="1">
      <c r="A14" s="927" t="s">
        <v>736</v>
      </c>
      <c r="B14" s="927" t="s">
        <v>737</v>
      </c>
      <c r="C14" s="922">
        <v>623</v>
      </c>
      <c r="D14" s="923">
        <f>'[11]FY2011-12_Final'!$L$49</f>
        <v>8489.0856550306853</v>
      </c>
      <c r="E14" s="924">
        <f t="shared" si="2"/>
        <v>5288700.363084117</v>
      </c>
      <c r="F14" s="924">
        <v>527.02354414153262</v>
      </c>
      <c r="G14" s="924">
        <f t="shared" si="3"/>
        <v>328335.6680001748</v>
      </c>
      <c r="H14" s="924">
        <f t="shared" si="1"/>
        <v>5617036</v>
      </c>
      <c r="I14" s="924">
        <f>'October midyear adj'!K91</f>
        <v>270483.27597516659</v>
      </c>
      <c r="J14" s="924">
        <f>'February midyear adj '!K91</f>
        <v>-4508.0545995861094</v>
      </c>
      <c r="K14" s="924">
        <f t="shared" si="4"/>
        <v>265975.22137558047</v>
      </c>
      <c r="L14" s="924">
        <f t="shared" si="5"/>
        <v>5883011.2213755809</v>
      </c>
      <c r="M14" s="924">
        <f t="shared" si="6"/>
        <v>-14708</v>
      </c>
      <c r="N14" s="924">
        <f t="shared" si="7"/>
        <v>5868303.2213755809</v>
      </c>
      <c r="O14" s="925">
        <v>0</v>
      </c>
      <c r="P14" s="926">
        <f t="shared" si="8"/>
        <v>5868303.2213755809</v>
      </c>
      <c r="Q14" s="926">
        <v>0</v>
      </c>
      <c r="R14" s="926">
        <f t="shared" si="9"/>
        <v>5868303.2213755809</v>
      </c>
      <c r="S14" s="926">
        <f>[8]MFP!$EG99+477377</f>
        <v>3819016</v>
      </c>
      <c r="T14" s="926">
        <f t="shared" si="12"/>
        <v>2049287.2213755809</v>
      </c>
      <c r="U14" s="926">
        <f t="shared" si="10"/>
        <v>512322</v>
      </c>
      <c r="V14" s="924">
        <v>0</v>
      </c>
      <c r="W14" s="924">
        <f t="shared" si="11"/>
        <v>5868303.2213755809</v>
      </c>
    </row>
    <row r="15" spans="1:23" ht="52.5" customHeight="1">
      <c r="A15" s="927" t="s">
        <v>738</v>
      </c>
      <c r="B15" s="927" t="s">
        <v>739</v>
      </c>
      <c r="C15" s="922">
        <v>918</v>
      </c>
      <c r="D15" s="924">
        <f>'[11]FY2011-12_Final'!$L$45</f>
        <v>13820.558275214593</v>
      </c>
      <c r="E15" s="924">
        <f t="shared" si="2"/>
        <v>12687272.496646997</v>
      </c>
      <c r="F15" s="924">
        <v>788.90242015830813</v>
      </c>
      <c r="G15" s="924">
        <f t="shared" si="3"/>
        <v>724212.42170532688</v>
      </c>
      <c r="H15" s="924">
        <f t="shared" si="1"/>
        <v>13411485</v>
      </c>
      <c r="I15" s="924">
        <f>'October midyear adj'!K92</f>
        <v>350627.05668894964</v>
      </c>
      <c r="J15" s="924">
        <f>'February midyear adj '!K92</f>
        <v>-197227.71938753416</v>
      </c>
      <c r="K15" s="924">
        <f t="shared" si="4"/>
        <v>153399.33730141548</v>
      </c>
      <c r="L15" s="924">
        <f t="shared" si="5"/>
        <v>13564884.337301414</v>
      </c>
      <c r="M15" s="924">
        <f t="shared" si="6"/>
        <v>-33912</v>
      </c>
      <c r="N15" s="924">
        <f t="shared" si="7"/>
        <v>13530972.337301414</v>
      </c>
      <c r="O15" s="925">
        <v>0</v>
      </c>
      <c r="P15" s="926">
        <f t="shared" si="8"/>
        <v>13530972.337301414</v>
      </c>
      <c r="Q15" s="926">
        <v>0</v>
      </c>
      <c r="R15" s="926">
        <f t="shared" si="9"/>
        <v>13530972.337301414</v>
      </c>
      <c r="S15" s="926">
        <f>[8]MFP!$EG100+1093768</f>
        <v>8750150</v>
      </c>
      <c r="T15" s="926">
        <f t="shared" si="12"/>
        <v>4780822.3373014145</v>
      </c>
      <c r="U15" s="926">
        <f t="shared" si="10"/>
        <v>1195206</v>
      </c>
      <c r="V15" s="924">
        <v>0</v>
      </c>
      <c r="W15" s="924">
        <f t="shared" si="11"/>
        <v>13530972.337301414</v>
      </c>
    </row>
    <row r="16" spans="1:23" ht="52.5" customHeight="1">
      <c r="A16" s="796" t="s">
        <v>740</v>
      </c>
      <c r="B16" s="796" t="s">
        <v>741</v>
      </c>
      <c r="C16" s="922">
        <v>431</v>
      </c>
      <c r="D16" s="924">
        <f>'[11]FY2011-12_Final'!$L$43</f>
        <v>8103.0270959716217</v>
      </c>
      <c r="E16" s="924">
        <f t="shared" si="2"/>
        <v>3492404.6783637688</v>
      </c>
      <c r="F16" s="924">
        <v>705.7643831168831</v>
      </c>
      <c r="G16" s="924">
        <f t="shared" si="3"/>
        <v>304184.44912337663</v>
      </c>
      <c r="H16" s="924">
        <f t="shared" si="1"/>
        <v>3796589</v>
      </c>
      <c r="I16" s="924">
        <f>'October midyear adj'!K93</f>
        <v>-317116.49324718618</v>
      </c>
      <c r="J16" s="924">
        <f>'February midyear adj '!K93</f>
        <v>17617.582958177009</v>
      </c>
      <c r="K16" s="924">
        <f t="shared" si="4"/>
        <v>-299498.91028900916</v>
      </c>
      <c r="L16" s="924">
        <f t="shared" si="5"/>
        <v>3497090.0897109909</v>
      </c>
      <c r="M16" s="924">
        <f t="shared" si="6"/>
        <v>-8743</v>
      </c>
      <c r="N16" s="924">
        <f t="shared" si="7"/>
        <v>3488347.0897109909</v>
      </c>
      <c r="O16" s="925">
        <v>0</v>
      </c>
      <c r="P16" s="926">
        <f t="shared" si="8"/>
        <v>3488347.0897109909</v>
      </c>
      <c r="Q16" s="926">
        <v>0</v>
      </c>
      <c r="R16" s="926">
        <f t="shared" si="9"/>
        <v>3488347.0897109909</v>
      </c>
      <c r="S16" s="926">
        <f>[8]MFP!$EG101+315878</f>
        <v>2527024</v>
      </c>
      <c r="T16" s="926">
        <f t="shared" si="12"/>
        <v>961323.0897109909</v>
      </c>
      <c r="U16" s="926">
        <f t="shared" si="10"/>
        <v>240331</v>
      </c>
      <c r="V16" s="924">
        <v>0</v>
      </c>
      <c r="W16" s="924">
        <f t="shared" si="11"/>
        <v>3488347.0897109909</v>
      </c>
    </row>
    <row r="17" spans="1:23" ht="52.5" customHeight="1">
      <c r="A17" s="927" t="s">
        <v>742</v>
      </c>
      <c r="B17" s="927" t="s">
        <v>743</v>
      </c>
      <c r="C17" s="929">
        <v>105</v>
      </c>
      <c r="D17" s="926">
        <f>'[11]FY2011-12_Final'!$L$36</f>
        <v>8609.8161124471389</v>
      </c>
      <c r="E17" s="926">
        <f t="shared" si="2"/>
        <v>904030.69180694956</v>
      </c>
      <c r="F17" s="926">
        <v>659.21180998497243</v>
      </c>
      <c r="G17" s="926">
        <f t="shared" si="3"/>
        <v>69217.2400484221</v>
      </c>
      <c r="H17" s="924">
        <f t="shared" si="1"/>
        <v>973248</v>
      </c>
      <c r="I17" s="924">
        <f>'October midyear adj'!K94</f>
        <v>-18538.055844864222</v>
      </c>
      <c r="J17" s="924">
        <f>'February midyear adj '!K94</f>
        <v>-4634.5139612160556</v>
      </c>
      <c r="K17" s="924">
        <f t="shared" si="4"/>
        <v>-23172.569806080279</v>
      </c>
      <c r="L17" s="924">
        <f t="shared" si="5"/>
        <v>950075.43019391969</v>
      </c>
      <c r="M17" s="924">
        <f t="shared" si="6"/>
        <v>-2375</v>
      </c>
      <c r="N17" s="924">
        <f t="shared" si="7"/>
        <v>947700.43019391969</v>
      </c>
      <c r="O17" s="925">
        <v>0</v>
      </c>
      <c r="P17" s="926">
        <f t="shared" si="8"/>
        <v>947700.43019391969</v>
      </c>
      <c r="Q17" s="926">
        <v>0</v>
      </c>
      <c r="R17" s="926">
        <f>P17+Q17</f>
        <v>947700.43019391969</v>
      </c>
      <c r="S17" s="926">
        <f>[8]MFP!$EG102+81329</f>
        <v>650632</v>
      </c>
      <c r="T17" s="926">
        <f t="shared" si="12"/>
        <v>297068.43019391969</v>
      </c>
      <c r="U17" s="926">
        <f t="shared" si="10"/>
        <v>74267</v>
      </c>
      <c r="V17" s="924">
        <v>0</v>
      </c>
      <c r="W17" s="924">
        <f t="shared" si="11"/>
        <v>947700.43019391969</v>
      </c>
    </row>
    <row r="18" spans="1:23" ht="52.5" customHeight="1">
      <c r="A18" s="796"/>
      <c r="B18" s="796" t="s">
        <v>744</v>
      </c>
      <c r="C18" s="930">
        <f>SUM(C10:C17)</f>
        <v>3966</v>
      </c>
      <c r="D18" s="931"/>
      <c r="E18" s="931">
        <f>SUM(E10:E17)</f>
        <v>36548383.371496215</v>
      </c>
      <c r="F18" s="931"/>
      <c r="G18" s="931">
        <f t="shared" ref="G18:U18" si="13">SUM(G10:G17)</f>
        <v>2611822.8148316923</v>
      </c>
      <c r="H18" s="931">
        <f t="shared" si="13"/>
        <v>39160206</v>
      </c>
      <c r="I18" s="931">
        <f>SUM(I10:I17)</f>
        <v>1467287.7025741155</v>
      </c>
      <c r="J18" s="931">
        <f>SUM(J10:J17)</f>
        <v>-294622.35845996049</v>
      </c>
      <c r="K18" s="931">
        <f>SUM(K10:K17)</f>
        <v>1172665.3441141548</v>
      </c>
      <c r="L18" s="931">
        <f>SUM(L10:L17)</f>
        <v>40332871.344114155</v>
      </c>
      <c r="M18" s="931">
        <f t="shared" si="13"/>
        <v>-100833</v>
      </c>
      <c r="N18" s="931">
        <f t="shared" si="13"/>
        <v>40232038.344114155</v>
      </c>
      <c r="O18" s="931">
        <f t="shared" si="13"/>
        <v>0</v>
      </c>
      <c r="P18" s="932">
        <f t="shared" si="13"/>
        <v>40232038.344114155</v>
      </c>
      <c r="Q18" s="932">
        <f>SUM(Q10:Q17)</f>
        <v>0</v>
      </c>
      <c r="R18" s="932">
        <f>SUM(R10:R17)</f>
        <v>40232038.344114155</v>
      </c>
      <c r="S18" s="932">
        <f>SUM(S10:S17)</f>
        <v>26401966</v>
      </c>
      <c r="T18" s="932">
        <f>SUM(T10:T17)</f>
        <v>13830072.344114155</v>
      </c>
      <c r="U18" s="932">
        <f t="shared" si="13"/>
        <v>3457518</v>
      </c>
      <c r="V18" s="931">
        <f>SUM(V10:V17)</f>
        <v>56000</v>
      </c>
      <c r="W18" s="931">
        <f>SUM(W10:W17)</f>
        <v>40288038.344114155</v>
      </c>
    </row>
    <row r="19" spans="1:23" ht="22.5" customHeight="1">
      <c r="A19" s="814"/>
      <c r="B19" s="814"/>
      <c r="C19" s="933"/>
      <c r="D19" s="934"/>
      <c r="E19" s="933"/>
      <c r="F19" s="933"/>
      <c r="G19" s="933"/>
      <c r="H19" s="933"/>
      <c r="I19" s="933"/>
      <c r="J19" s="933"/>
      <c r="K19" s="933"/>
      <c r="L19" s="933"/>
      <c r="M19" s="933"/>
      <c r="N19" s="933"/>
      <c r="O19" s="933"/>
      <c r="P19" s="935"/>
      <c r="Q19" s="935"/>
      <c r="R19" s="935"/>
      <c r="S19" s="935"/>
      <c r="T19" s="935"/>
      <c r="U19" s="935"/>
      <c r="V19" s="933"/>
    </row>
    <row r="20" spans="1:23" ht="34.5" customHeight="1">
      <c r="A20" s="784"/>
      <c r="B20" s="784" t="s">
        <v>745</v>
      </c>
      <c r="C20" s="929"/>
      <c r="D20" s="924"/>
      <c r="E20" s="924"/>
      <c r="F20" s="924"/>
      <c r="G20" s="924"/>
      <c r="H20" s="924"/>
      <c r="I20" s="924"/>
      <c r="J20" s="924"/>
      <c r="K20" s="924"/>
      <c r="L20" s="924"/>
      <c r="M20" s="924">
        <f>-M18</f>
        <v>100833</v>
      </c>
      <c r="N20" s="924">
        <f>M20</f>
        <v>100833</v>
      </c>
      <c r="O20" s="925"/>
      <c r="P20" s="926">
        <f>N20</f>
        <v>100833</v>
      </c>
      <c r="Q20" s="926"/>
      <c r="R20" s="926"/>
      <c r="S20" s="926">
        <v>97124</v>
      </c>
      <c r="T20" s="926">
        <f>P20-S20</f>
        <v>3709</v>
      </c>
      <c r="U20" s="926"/>
      <c r="V20" s="924"/>
      <c r="W20" s="936"/>
    </row>
    <row r="21" spans="1:23" ht="18">
      <c r="A21" s="814"/>
      <c r="B21" s="814"/>
      <c r="C21" s="933"/>
      <c r="D21" s="934"/>
      <c r="E21" s="933"/>
      <c r="F21" s="933"/>
      <c r="G21" s="933"/>
      <c r="H21" s="933"/>
      <c r="I21" s="933"/>
      <c r="J21" s="933"/>
      <c r="K21" s="933"/>
      <c r="L21" s="933"/>
      <c r="M21" s="933"/>
      <c r="N21" s="933"/>
      <c r="O21" s="933"/>
      <c r="P21" s="935"/>
      <c r="Q21" s="935"/>
      <c r="R21" s="935"/>
      <c r="S21" s="935"/>
      <c r="T21" s="935"/>
      <c r="U21" s="935"/>
      <c r="V21" s="933"/>
    </row>
    <row r="22" spans="1:23" ht="18">
      <c r="A22" s="937"/>
      <c r="B22" s="937" t="s">
        <v>746</v>
      </c>
      <c r="C22" s="930">
        <f>SUM(C18:C20)</f>
        <v>3966</v>
      </c>
      <c r="D22" s="931"/>
      <c r="E22" s="931">
        <f t="shared" ref="E22:O22" si="14">SUM(E18:E20)</f>
        <v>36548383.371496215</v>
      </c>
      <c r="F22" s="931"/>
      <c r="G22" s="931">
        <f t="shared" si="14"/>
        <v>2611822.8148316923</v>
      </c>
      <c r="H22" s="931">
        <f>SUM(H18:H20)</f>
        <v>39160206</v>
      </c>
      <c r="I22" s="931"/>
      <c r="J22" s="931"/>
      <c r="K22" s="931"/>
      <c r="L22" s="931"/>
      <c r="M22" s="931">
        <f t="shared" si="14"/>
        <v>0</v>
      </c>
      <c r="N22" s="931">
        <f t="shared" si="14"/>
        <v>40332871.344114155</v>
      </c>
      <c r="O22" s="931">
        <f t="shared" si="14"/>
        <v>0</v>
      </c>
      <c r="P22" s="931">
        <f>SUM(P18:P20)</f>
        <v>40332871.344114155</v>
      </c>
      <c r="Q22" s="931"/>
      <c r="R22" s="931"/>
      <c r="S22" s="931"/>
      <c r="T22" s="931"/>
      <c r="U22" s="931"/>
      <c r="V22" s="931">
        <f>SUM(V18:V20)</f>
        <v>56000</v>
      </c>
      <c r="W22" s="936"/>
    </row>
    <row r="23" spans="1:23" ht="15">
      <c r="B23" s="814"/>
      <c r="C23" s="815"/>
      <c r="D23" s="816"/>
      <c r="E23" s="815"/>
      <c r="F23" s="815"/>
      <c r="G23" s="815"/>
      <c r="H23" s="815"/>
      <c r="I23" s="815"/>
      <c r="J23" s="815"/>
      <c r="K23" s="815"/>
      <c r="L23" s="815"/>
      <c r="M23" s="815"/>
      <c r="N23" s="815"/>
      <c r="O23" s="815"/>
      <c r="P23" s="938"/>
      <c r="Q23" s="938"/>
      <c r="R23" s="938"/>
      <c r="S23" s="938"/>
      <c r="T23" s="938"/>
    </row>
    <row r="24" spans="1:23" ht="15">
      <c r="B24" s="814"/>
      <c r="C24" s="815"/>
      <c r="D24" s="816"/>
      <c r="E24" s="815"/>
      <c r="F24" s="815"/>
      <c r="G24" s="815"/>
      <c r="H24" s="815"/>
      <c r="I24" s="815"/>
      <c r="J24" s="815"/>
      <c r="K24" s="815"/>
      <c r="L24" s="815"/>
      <c r="M24" s="939"/>
      <c r="N24" s="939"/>
      <c r="O24" s="940"/>
      <c r="P24" s="938"/>
      <c r="Q24" s="938"/>
      <c r="R24" s="938"/>
      <c r="S24" s="938"/>
      <c r="T24" s="938"/>
    </row>
    <row r="25" spans="1:23" ht="18">
      <c r="B25" s="1804"/>
      <c r="C25" s="1804"/>
      <c r="D25" s="1804"/>
      <c r="E25" s="1804"/>
      <c r="F25" s="1804"/>
      <c r="G25" s="1804"/>
      <c r="H25" s="1804"/>
      <c r="I25" s="1804"/>
      <c r="J25" s="1804"/>
      <c r="K25" s="1804"/>
      <c r="L25" s="1804"/>
      <c r="M25" s="1804"/>
      <c r="N25" s="1804"/>
      <c r="O25" s="1804"/>
      <c r="P25" s="938"/>
      <c r="Q25" s="938"/>
      <c r="R25" s="938"/>
      <c r="S25" s="938"/>
      <c r="T25" s="938"/>
    </row>
    <row r="26" spans="1:23" s="1525" customFormat="1" ht="15" hidden="1">
      <c r="B26" s="1526"/>
      <c r="C26" s="1527"/>
      <c r="D26" s="1528"/>
      <c r="E26" s="1527"/>
      <c r="F26" s="1527"/>
      <c r="G26" s="1527"/>
      <c r="H26" s="1527"/>
      <c r="I26" s="1527"/>
      <c r="J26" s="1527"/>
      <c r="K26" s="1527"/>
      <c r="L26" s="1527"/>
      <c r="M26" s="1529"/>
      <c r="N26" s="1529"/>
      <c r="O26" s="1530"/>
      <c r="P26" s="1531"/>
      <c r="Q26" s="1531"/>
      <c r="R26" s="1531"/>
      <c r="S26" s="1531"/>
      <c r="T26" s="1531"/>
    </row>
    <row r="27" spans="1:23" s="1525" customFormat="1" hidden="1">
      <c r="B27" s="1526"/>
      <c r="C27" s="1527"/>
      <c r="D27" s="1528"/>
      <c r="E27" s="1527"/>
      <c r="F27" s="1527"/>
      <c r="G27" s="1527"/>
      <c r="H27" s="1527"/>
      <c r="I27" s="1527"/>
      <c r="J27" s="1527"/>
      <c r="K27" s="1527"/>
      <c r="L27" s="1527"/>
      <c r="M27" s="1529"/>
      <c r="N27" s="1529"/>
      <c r="O27" s="1530"/>
      <c r="P27" s="1532"/>
      <c r="Q27" s="1532"/>
      <c r="R27" s="1532"/>
      <c r="S27" s="1532"/>
      <c r="T27" s="1532"/>
    </row>
    <row r="28" spans="1:23" s="1525" customFormat="1" hidden="1">
      <c r="B28" s="1533" t="s">
        <v>1165</v>
      </c>
      <c r="C28" s="1527"/>
      <c r="D28" s="1528"/>
      <c r="E28" s="1527"/>
      <c r="F28" s="1527"/>
      <c r="G28" s="1527"/>
      <c r="H28" s="1527"/>
      <c r="I28" s="1527"/>
      <c r="J28" s="1527"/>
      <c r="K28" s="1527"/>
      <c r="L28" s="1527"/>
      <c r="M28" s="1529"/>
      <c r="N28" s="1529"/>
      <c r="O28" s="1529"/>
      <c r="P28" s="1527"/>
      <c r="Q28" s="1527"/>
      <c r="R28" s="1527"/>
      <c r="S28" s="1527"/>
      <c r="T28" s="1527"/>
    </row>
    <row r="29" spans="1:23" s="1525" customFormat="1" hidden="1">
      <c r="B29" s="1534"/>
      <c r="C29" s="1535"/>
      <c r="D29" s="1536"/>
      <c r="E29" s="1535"/>
      <c r="F29" s="1535"/>
      <c r="G29" s="1535"/>
      <c r="H29" s="1535"/>
      <c r="I29" s="1535"/>
      <c r="J29" s="1535"/>
      <c r="K29" s="1535"/>
      <c r="L29" s="1535"/>
      <c r="M29" s="1535"/>
      <c r="N29" s="1535"/>
      <c r="O29" s="1535"/>
      <c r="P29" s="1537"/>
      <c r="Q29" s="1537"/>
      <c r="R29" s="1537"/>
      <c r="S29" s="1537"/>
      <c r="T29" s="1537"/>
    </row>
    <row r="30" spans="1:23" s="1525" customFormat="1" hidden="1">
      <c r="B30" s="1507" t="str">
        <f ca="1">CELL("filename")</f>
        <v xml:space="preserve">I:\COMM\Content\Website Content\0 Library\Minimum Foundation Program\[2011-2012 Final Budget Spreadsheet.xlsx]Table 1 State Summary </v>
      </c>
      <c r="C30" s="1507"/>
      <c r="D30" s="1507"/>
      <c r="E30" s="1508"/>
      <c r="F30" s="1508"/>
      <c r="G30" s="1508"/>
      <c r="H30" s="1508"/>
      <c r="I30" s="1508"/>
      <c r="J30" s="1508"/>
      <c r="K30" s="1508"/>
      <c r="L30" s="1508"/>
      <c r="M30" s="1508"/>
      <c r="N30" s="1508"/>
      <c r="O30" s="1508"/>
      <c r="P30" s="1507"/>
      <c r="Q30" s="1507"/>
      <c r="R30" s="1507"/>
      <c r="S30" s="1507"/>
      <c r="T30" s="1507"/>
    </row>
    <row r="31" spans="1:23" s="1525" customFormat="1" hidden="1">
      <c r="B31" s="1507"/>
      <c r="C31" s="1507"/>
      <c r="D31" s="1507"/>
      <c r="E31" s="1508"/>
      <c r="F31" s="1508"/>
      <c r="G31" s="1508"/>
      <c r="H31" s="1508"/>
      <c r="I31" s="1508"/>
      <c r="J31" s="1508"/>
      <c r="K31" s="1508"/>
      <c r="L31" s="1508"/>
      <c r="M31" s="1508"/>
      <c r="N31" s="1508"/>
      <c r="O31" s="1508"/>
      <c r="P31" s="1507"/>
      <c r="Q31" s="1507"/>
      <c r="R31" s="1507"/>
      <c r="S31" s="1507"/>
      <c r="T31" s="1507"/>
    </row>
    <row r="32" spans="1:23" s="1525" customFormat="1" hidden="1">
      <c r="B32" s="1507" t="s">
        <v>747</v>
      </c>
      <c r="C32" s="1507"/>
      <c r="D32" s="1507"/>
      <c r="E32" s="1507"/>
      <c r="F32" s="1507"/>
      <c r="G32" s="1507"/>
      <c r="H32" s="1507"/>
      <c r="I32" s="1507"/>
      <c r="J32" s="1507"/>
      <c r="K32" s="1507"/>
      <c r="L32" s="1507"/>
      <c r="M32" s="1507"/>
      <c r="N32" s="1507"/>
      <c r="O32" s="1507"/>
      <c r="P32" s="1507"/>
      <c r="Q32" s="1507"/>
      <c r="R32" s="1507"/>
      <c r="S32" s="1507"/>
      <c r="T32" s="1507"/>
    </row>
    <row r="33" spans="2:20" s="1525" customFormat="1" hidden="1">
      <c r="B33" s="1507" t="s">
        <v>748</v>
      </c>
      <c r="C33" s="1507"/>
      <c r="D33" s="1507"/>
      <c r="E33" s="1507"/>
      <c r="F33" s="1507"/>
      <c r="G33" s="1507"/>
      <c r="H33" s="1507"/>
      <c r="I33" s="1507"/>
      <c r="J33" s="1507"/>
      <c r="K33" s="1507"/>
      <c r="L33" s="1507"/>
      <c r="M33" s="1507"/>
      <c r="N33" s="1507"/>
      <c r="O33" s="1507"/>
      <c r="P33" s="1507"/>
      <c r="Q33" s="1507"/>
      <c r="R33" s="1507"/>
      <c r="S33" s="1507"/>
      <c r="T33" s="1507"/>
    </row>
    <row r="34" spans="2:20" s="1525" customFormat="1" hidden="1">
      <c r="B34" s="1507"/>
      <c r="C34" s="1507"/>
      <c r="D34" s="1507"/>
      <c r="E34" s="1507"/>
      <c r="F34" s="1507"/>
      <c r="G34" s="1507"/>
      <c r="H34" s="1507"/>
      <c r="I34" s="1507"/>
      <c r="J34" s="1507"/>
      <c r="K34" s="1507"/>
      <c r="L34" s="1507"/>
      <c r="M34" s="1507"/>
      <c r="N34" s="1507"/>
      <c r="O34" s="1507"/>
      <c r="P34" s="1507"/>
      <c r="Q34" s="1507"/>
      <c r="R34" s="1507"/>
      <c r="S34" s="1507"/>
      <c r="T34" s="1507"/>
    </row>
  </sheetData>
  <sheetProtection selectLockedCells="1" selectUnlockedCells="1"/>
  <mergeCells count="30">
    <mergeCell ref="A6:A8"/>
    <mergeCell ref="B6:B8"/>
    <mergeCell ref="C6:C8"/>
    <mergeCell ref="D6:D8"/>
    <mergeCell ref="E6:E8"/>
    <mergeCell ref="B1:P1"/>
    <mergeCell ref="B2:P2"/>
    <mergeCell ref="B3:P3"/>
    <mergeCell ref="B4:P4"/>
    <mergeCell ref="I5:K5"/>
    <mergeCell ref="W6:W8"/>
    <mergeCell ref="F7:F8"/>
    <mergeCell ref="G7:G8"/>
    <mergeCell ref="M6:M8"/>
    <mergeCell ref="N6:N8"/>
    <mergeCell ref="O6:O8"/>
    <mergeCell ref="P6:P8"/>
    <mergeCell ref="Q6:Q8"/>
    <mergeCell ref="R6:R8"/>
    <mergeCell ref="F6:G6"/>
    <mergeCell ref="H6:H8"/>
    <mergeCell ref="I6:I8"/>
    <mergeCell ref="J6:J8"/>
    <mergeCell ref="K6:K8"/>
    <mergeCell ref="L6:L8"/>
    <mergeCell ref="B25:O25"/>
    <mergeCell ref="S6:S8"/>
    <mergeCell ref="T6:T8"/>
    <mergeCell ref="U6:U8"/>
    <mergeCell ref="V6:V8"/>
  </mergeCells>
  <printOptions horizontalCentered="1"/>
  <pageMargins left="0.17" right="0.17" top="0.32" bottom="0.18" header="0.17" footer="0.17"/>
  <pageSetup paperSize="5" scale="39" firstPageNumber="31" orientation="landscape" useFirstPageNumber="1" r:id="rId1"/>
  <headerFooter>
    <oddFooter>&amp;R&amp;P</oddFooter>
  </headerFooter>
</worksheet>
</file>

<file path=xl/worksheets/sheet15.xml><?xml version="1.0" encoding="utf-8"?>
<worksheet xmlns="http://schemas.openxmlformats.org/spreadsheetml/2006/main" xmlns:r="http://schemas.openxmlformats.org/officeDocument/2006/relationships">
  <sheetPr transitionEvaluation="1" transitionEntry="1"/>
  <dimension ref="A1:V105"/>
  <sheetViews>
    <sheetView view="pageBreakPreview" zoomScale="90" zoomScaleNormal="85" zoomScaleSheetLayoutView="90" workbookViewId="0">
      <pane xSplit="2" ySplit="6" topLeftCell="C7" activePane="bottomRight" state="frozen"/>
      <selection pane="topRight"/>
      <selection pane="bottomLeft"/>
      <selection pane="bottomRight" activeCell="F104" sqref="F104"/>
    </sheetView>
  </sheetViews>
  <sheetFormatPr defaultColWidth="12.5703125" defaultRowHeight="12.75"/>
  <cols>
    <col min="1" max="1" width="3.85546875" style="250" customWidth="1"/>
    <col min="2" max="2" width="20.85546875" style="250" customWidth="1"/>
    <col min="3" max="3" width="15.85546875" style="366" customWidth="1"/>
    <col min="4" max="4" width="18.85546875" style="366" customWidth="1"/>
    <col min="5" max="5" width="14.28515625" style="366" customWidth="1"/>
    <col min="6" max="6" width="17.85546875" style="366" customWidth="1"/>
    <col min="7" max="7" width="13.5703125" style="366" customWidth="1"/>
    <col min="8" max="9" width="13.42578125" style="943" customWidth="1"/>
    <col min="10" max="10" width="13.5703125" style="366" customWidth="1"/>
    <col min="11" max="11" width="15.85546875" style="483" customWidth="1"/>
    <col min="12" max="12" width="12.5703125" style="366" customWidth="1"/>
    <col min="13" max="13" width="14.28515625" style="366" customWidth="1"/>
    <col min="14" max="14" width="10.5703125" style="366" bestFit="1" customWidth="1"/>
    <col min="15" max="15" width="13.7109375" style="366" bestFit="1" customWidth="1"/>
    <col min="16" max="17" width="13.7109375" style="366" customWidth="1"/>
    <col min="18" max="18" width="10.85546875" style="366" bestFit="1" customWidth="1"/>
    <col min="19" max="19" width="12.5703125" style="250" customWidth="1"/>
    <col min="20" max="20" width="2.5703125" style="943" hidden="1" customWidth="1"/>
    <col min="21" max="21" width="37.85546875" style="943" hidden="1" customWidth="1"/>
    <col min="22" max="22" width="12.5703125" style="250" customWidth="1"/>
    <col min="23" max="16384" width="12.5703125" style="250"/>
  </cols>
  <sheetData>
    <row r="1" spans="1:22" ht="9" customHeight="1">
      <c r="B1" s="941"/>
      <c r="C1" s="942"/>
      <c r="D1" s="942"/>
    </row>
    <row r="2" spans="1:22" s="946" customFormat="1" ht="39.75" customHeight="1">
      <c r="A2" s="1838" t="s">
        <v>749</v>
      </c>
      <c r="B2" s="1839"/>
      <c r="C2" s="1844" t="s">
        <v>750</v>
      </c>
      <c r="D2" s="1845"/>
      <c r="E2" s="1845"/>
      <c r="F2" s="1845"/>
      <c r="G2" s="1845"/>
      <c r="H2" s="1845"/>
      <c r="I2" s="1845"/>
      <c r="J2" s="1846"/>
      <c r="K2" s="1847" t="s">
        <v>751</v>
      </c>
      <c r="L2" s="1848"/>
      <c r="M2" s="1848"/>
      <c r="N2" s="1848"/>
      <c r="O2" s="1848"/>
      <c r="P2" s="1848"/>
      <c r="Q2" s="1848"/>
      <c r="R2" s="1849"/>
      <c r="S2" s="1850" t="s">
        <v>752</v>
      </c>
      <c r="T2" s="944"/>
      <c r="U2" s="945"/>
      <c r="V2" s="1850" t="s">
        <v>753</v>
      </c>
    </row>
    <row r="3" spans="1:22" ht="67.5" customHeight="1">
      <c r="A3" s="1840"/>
      <c r="B3" s="1841"/>
      <c r="C3" s="1856" t="s">
        <v>754</v>
      </c>
      <c r="D3" s="1853" t="s">
        <v>755</v>
      </c>
      <c r="E3" s="947" t="s">
        <v>756</v>
      </c>
      <c r="F3" s="947" t="s">
        <v>757</v>
      </c>
      <c r="G3" s="1853" t="s">
        <v>758</v>
      </c>
      <c r="H3" s="1853" t="s">
        <v>759</v>
      </c>
      <c r="I3" s="1853" t="s">
        <v>760</v>
      </c>
      <c r="J3" s="1853" t="s">
        <v>761</v>
      </c>
      <c r="K3" s="1854" t="s">
        <v>762</v>
      </c>
      <c r="L3" s="1835" t="s">
        <v>763</v>
      </c>
      <c r="M3" s="1835" t="s">
        <v>764</v>
      </c>
      <c r="N3" s="1835" t="s">
        <v>765</v>
      </c>
      <c r="O3" s="1835" t="s">
        <v>766</v>
      </c>
      <c r="P3" s="1835" t="s">
        <v>767</v>
      </c>
      <c r="Q3" s="1835" t="s">
        <v>760</v>
      </c>
      <c r="R3" s="1835" t="s">
        <v>768</v>
      </c>
      <c r="S3" s="1851"/>
      <c r="T3" s="948"/>
      <c r="U3" s="949"/>
      <c r="V3" s="1851"/>
    </row>
    <row r="4" spans="1:22" ht="26.25" customHeight="1">
      <c r="A4" s="1842"/>
      <c r="B4" s="1843"/>
      <c r="C4" s="1857"/>
      <c r="D4" s="1853"/>
      <c r="E4" s="950">
        <f>E83</f>
        <v>0.31638418079096048</v>
      </c>
      <c r="F4" s="951">
        <f>C102</f>
        <v>1470.3473918621949</v>
      </c>
      <c r="G4" s="1853"/>
      <c r="H4" s="1853"/>
      <c r="I4" s="1853"/>
      <c r="J4" s="1853"/>
      <c r="K4" s="1855"/>
      <c r="L4" s="1836"/>
      <c r="M4" s="1836"/>
      <c r="N4" s="1836"/>
      <c r="O4" s="1836"/>
      <c r="P4" s="1836"/>
      <c r="Q4" s="1836"/>
      <c r="R4" s="1836"/>
      <c r="S4" s="1852"/>
      <c r="T4" s="948"/>
      <c r="U4" s="949"/>
      <c r="V4" s="1852"/>
    </row>
    <row r="5" spans="1:22" s="955" customFormat="1" ht="14.25" customHeight="1">
      <c r="A5" s="952"/>
      <c r="B5" s="953"/>
      <c r="C5" s="954">
        <v>1</v>
      </c>
      <c r="D5" s="954">
        <f t="shared" ref="D5:V5" si="0">C5+1</f>
        <v>2</v>
      </c>
      <c r="E5" s="954">
        <f t="shared" si="0"/>
        <v>3</v>
      </c>
      <c r="F5" s="954">
        <f t="shared" si="0"/>
        <v>4</v>
      </c>
      <c r="G5" s="954">
        <f t="shared" si="0"/>
        <v>5</v>
      </c>
      <c r="H5" s="954">
        <f t="shared" si="0"/>
        <v>6</v>
      </c>
      <c r="I5" s="954">
        <f t="shared" si="0"/>
        <v>7</v>
      </c>
      <c r="J5" s="954">
        <f t="shared" si="0"/>
        <v>8</v>
      </c>
      <c r="K5" s="954">
        <f t="shared" si="0"/>
        <v>9</v>
      </c>
      <c r="L5" s="954">
        <f t="shared" si="0"/>
        <v>10</v>
      </c>
      <c r="M5" s="954">
        <f t="shared" si="0"/>
        <v>11</v>
      </c>
      <c r="N5" s="954">
        <f t="shared" si="0"/>
        <v>12</v>
      </c>
      <c r="O5" s="954">
        <f t="shared" si="0"/>
        <v>13</v>
      </c>
      <c r="P5" s="954">
        <f t="shared" si="0"/>
        <v>14</v>
      </c>
      <c r="Q5" s="954">
        <f t="shared" si="0"/>
        <v>15</v>
      </c>
      <c r="R5" s="954">
        <f t="shared" si="0"/>
        <v>16</v>
      </c>
      <c r="S5" s="954">
        <f t="shared" si="0"/>
        <v>17</v>
      </c>
      <c r="T5" s="954">
        <f t="shared" si="0"/>
        <v>18</v>
      </c>
      <c r="U5" s="954">
        <f t="shared" si="0"/>
        <v>19</v>
      </c>
      <c r="V5" s="954">
        <f t="shared" si="0"/>
        <v>20</v>
      </c>
    </row>
    <row r="6" spans="1:22" s="963" customFormat="1" ht="27" customHeight="1">
      <c r="A6" s="956"/>
      <c r="B6" s="957"/>
      <c r="C6" s="958" t="s">
        <v>769</v>
      </c>
      <c r="D6" s="959" t="s">
        <v>770</v>
      </c>
      <c r="E6" s="958" t="s">
        <v>771</v>
      </c>
      <c r="F6" s="958" t="s">
        <v>772</v>
      </c>
      <c r="G6" s="958" t="s">
        <v>773</v>
      </c>
      <c r="H6" s="958"/>
      <c r="I6" s="958" t="s">
        <v>774</v>
      </c>
      <c r="J6" s="958" t="s">
        <v>775</v>
      </c>
      <c r="K6" s="960" t="s">
        <v>770</v>
      </c>
      <c r="L6" s="959" t="s">
        <v>776</v>
      </c>
      <c r="M6" s="959" t="s">
        <v>777</v>
      </c>
      <c r="N6" s="959" t="s">
        <v>778</v>
      </c>
      <c r="O6" s="959" t="s">
        <v>779</v>
      </c>
      <c r="P6" s="959"/>
      <c r="Q6" s="959" t="s">
        <v>780</v>
      </c>
      <c r="R6" s="959" t="s">
        <v>781</v>
      </c>
      <c r="S6" s="959" t="s">
        <v>782</v>
      </c>
      <c r="T6" s="961"/>
      <c r="U6" s="962"/>
      <c r="V6" s="959" t="s">
        <v>783</v>
      </c>
    </row>
    <row r="7" spans="1:22">
      <c r="A7" s="964">
        <v>1</v>
      </c>
      <c r="B7" s="965" t="s">
        <v>179</v>
      </c>
      <c r="C7" s="966">
        <f>'[12]Summary by Parish'!E7</f>
        <v>1.4683200000000001</v>
      </c>
      <c r="D7" s="967">
        <f>'Table 3 Levels 1&amp;2'!AP8</f>
        <v>5454.6665813135241</v>
      </c>
      <c r="E7" s="967">
        <f t="shared" ref="E7:E70" si="1">D7*(1+$E$4)</f>
        <v>7180.4367991302324</v>
      </c>
      <c r="F7" s="967">
        <f>E7+$F$4</f>
        <v>8650.7841909924282</v>
      </c>
      <c r="G7" s="968">
        <f>C7*F7</f>
        <v>12702.119443318003</v>
      </c>
      <c r="H7" s="968">
        <f>1059*8</f>
        <v>8472</v>
      </c>
      <c r="I7" s="968">
        <f>G7-H7</f>
        <v>4230.1194433180026</v>
      </c>
      <c r="J7" s="968">
        <f>ROUND(I7/4,0)</f>
        <v>1058</v>
      </c>
      <c r="K7" s="969">
        <f>'Table 3 Levels 1&amp;2'!AS8</f>
        <v>19047403</v>
      </c>
      <c r="L7" s="970">
        <f>'Table 3 Levels 1&amp;2'!C8</f>
        <v>9154</v>
      </c>
      <c r="M7" s="970">
        <f t="shared" ref="M7:M70" si="2">C7+L7</f>
        <v>9155.4683199999999</v>
      </c>
      <c r="N7" s="971">
        <f>K7/M7</f>
        <v>2080.4400533385278</v>
      </c>
      <c r="O7" s="972">
        <f t="shared" ref="O7:O70" si="3">C7*N7</f>
        <v>3054.7517391180272</v>
      </c>
      <c r="P7" s="972">
        <f>255*8</f>
        <v>2040</v>
      </c>
      <c r="Q7" s="972">
        <f>O7-P7</f>
        <v>1014.7517391180272</v>
      </c>
      <c r="R7" s="972">
        <f>ROUND(Q7/4,0)</f>
        <v>254</v>
      </c>
      <c r="S7" s="973">
        <f t="shared" ref="S7:S70" si="4">G7+O7</f>
        <v>15756.871182436029</v>
      </c>
      <c r="T7" s="974"/>
      <c r="U7" s="975"/>
      <c r="V7" s="973">
        <f>J7+R7</f>
        <v>1312</v>
      </c>
    </row>
    <row r="8" spans="1:22">
      <c r="A8" s="976">
        <v>2</v>
      </c>
      <c r="B8" s="977" t="s">
        <v>180</v>
      </c>
      <c r="C8" s="978">
        <f>'[12]Summary by Parish'!E8</f>
        <v>0</v>
      </c>
      <c r="D8" s="979">
        <f>'Table 3 Levels 1&amp;2'!AP9</f>
        <v>6892.0599809477599</v>
      </c>
      <c r="E8" s="979">
        <f t="shared" si="1"/>
        <v>9072.5987319820797</v>
      </c>
      <c r="F8" s="979">
        <f t="shared" ref="F8:F71" si="5">E8+$F$4</f>
        <v>10542.946123844275</v>
      </c>
      <c r="G8" s="980">
        <f t="shared" ref="G8:G71" si="6">C8*F8</f>
        <v>0</v>
      </c>
      <c r="H8" s="980">
        <f>0*8</f>
        <v>0</v>
      </c>
      <c r="I8" s="981">
        <f t="shared" ref="I8:I71" si="7">G8-H8</f>
        <v>0</v>
      </c>
      <c r="J8" s="980">
        <f t="shared" ref="J8:J71" si="8">ROUND(I8/4,0)</f>
        <v>0</v>
      </c>
      <c r="K8" s="969">
        <f>'Table 3 Levels 1&amp;2'!AS9</f>
        <v>9913119.5</v>
      </c>
      <c r="L8" s="982">
        <f>'Table 3 Levels 1&amp;2'!C9</f>
        <v>4039</v>
      </c>
      <c r="M8" s="982">
        <f t="shared" si="2"/>
        <v>4039</v>
      </c>
      <c r="N8" s="983">
        <f t="shared" ref="N8:N71" si="9">K8/M8</f>
        <v>2454.3499628620948</v>
      </c>
      <c r="O8" s="984">
        <f t="shared" si="3"/>
        <v>0</v>
      </c>
      <c r="P8" s="984">
        <f>0*8</f>
        <v>0</v>
      </c>
      <c r="Q8" s="984">
        <f t="shared" ref="Q8:Q71" si="10">O8-P8</f>
        <v>0</v>
      </c>
      <c r="R8" s="984">
        <f t="shared" ref="R8:R71" si="11">ROUND(Q8/4,0)</f>
        <v>0</v>
      </c>
      <c r="S8" s="985">
        <f t="shared" si="4"/>
        <v>0</v>
      </c>
      <c r="T8" s="974"/>
      <c r="U8" s="975"/>
      <c r="V8" s="985">
        <f t="shared" ref="V8:V71" si="12">J8+R8</f>
        <v>0</v>
      </c>
    </row>
    <row r="9" spans="1:22" ht="12.75" customHeight="1">
      <c r="A9" s="976">
        <v>3</v>
      </c>
      <c r="B9" s="977" t="s">
        <v>181</v>
      </c>
      <c r="C9" s="978">
        <f>'[12]Summary by Parish'!E9</f>
        <v>1.056</v>
      </c>
      <c r="D9" s="979">
        <f>'Table 3 Levels 1&amp;2'!AP10</f>
        <v>4721.3848808422781</v>
      </c>
      <c r="E9" s="979">
        <f t="shared" si="1"/>
        <v>6215.1563685663887</v>
      </c>
      <c r="F9" s="979">
        <f t="shared" si="5"/>
        <v>7685.5037604285835</v>
      </c>
      <c r="G9" s="980">
        <f t="shared" si="6"/>
        <v>8115.8919710125847</v>
      </c>
      <c r="H9" s="980">
        <f>676*8</f>
        <v>5408</v>
      </c>
      <c r="I9" s="981">
        <f t="shared" si="7"/>
        <v>2707.8919710125847</v>
      </c>
      <c r="J9" s="980">
        <f t="shared" si="8"/>
        <v>677</v>
      </c>
      <c r="K9" s="969">
        <f>'Table 3 Levels 1&amp;2'!AS10</f>
        <v>67876845.799999997</v>
      </c>
      <c r="L9" s="982">
        <f>'Table 3 Levels 1&amp;2'!C10</f>
        <v>19509</v>
      </c>
      <c r="M9" s="982">
        <f t="shared" si="2"/>
        <v>19510.056</v>
      </c>
      <c r="N9" s="983">
        <f t="shared" si="9"/>
        <v>3479.0697576675329</v>
      </c>
      <c r="O9" s="984">
        <f t="shared" si="3"/>
        <v>3673.8976640969149</v>
      </c>
      <c r="P9" s="984">
        <f>306*8</f>
        <v>2448</v>
      </c>
      <c r="Q9" s="984">
        <f t="shared" si="10"/>
        <v>1225.8976640969149</v>
      </c>
      <c r="R9" s="984">
        <f t="shared" si="11"/>
        <v>306</v>
      </c>
      <c r="S9" s="985">
        <f t="shared" si="4"/>
        <v>11789.789635109501</v>
      </c>
      <c r="T9" s="986" t="s">
        <v>143</v>
      </c>
      <c r="U9" s="1837" t="s">
        <v>784</v>
      </c>
      <c r="V9" s="985">
        <f t="shared" si="12"/>
        <v>983</v>
      </c>
    </row>
    <row r="10" spans="1:22" ht="12.75" customHeight="1">
      <c r="A10" s="976">
        <v>4</v>
      </c>
      <c r="B10" s="977" t="s">
        <v>182</v>
      </c>
      <c r="C10" s="978">
        <f>'[12]Summary by Parish'!E10</f>
        <v>2.3982039999999998</v>
      </c>
      <c r="D10" s="979">
        <f>'Table 3 Levels 1&amp;2'!AP11</f>
        <v>6627.7116008548937</v>
      </c>
      <c r="E10" s="979">
        <f t="shared" si="1"/>
        <v>8724.6147062101136</v>
      </c>
      <c r="F10" s="979">
        <f t="shared" si="5"/>
        <v>10194.962098072308</v>
      </c>
      <c r="G10" s="980">
        <f t="shared" si="6"/>
        <v>24449.5988834454</v>
      </c>
      <c r="H10" s="980">
        <f>2037*8</f>
        <v>16296</v>
      </c>
      <c r="I10" s="981">
        <f t="shared" si="7"/>
        <v>8153.5988834454001</v>
      </c>
      <c r="J10" s="980">
        <f t="shared" si="8"/>
        <v>2038</v>
      </c>
      <c r="K10" s="969">
        <f>'Table 3 Levels 1&amp;2'!AS11</f>
        <v>10192717.5</v>
      </c>
      <c r="L10" s="982">
        <f>'Table 3 Levels 1&amp;2'!C11</f>
        <v>3556</v>
      </c>
      <c r="M10" s="982">
        <f t="shared" si="2"/>
        <v>3558.3982040000001</v>
      </c>
      <c r="N10" s="983">
        <f t="shared" si="9"/>
        <v>2864.4117143894555</v>
      </c>
      <c r="O10" s="984">
        <f t="shared" si="3"/>
        <v>6869.4436310956489</v>
      </c>
      <c r="P10" s="984">
        <f>572*8</f>
        <v>4576</v>
      </c>
      <c r="Q10" s="984">
        <f t="shared" si="10"/>
        <v>2293.4436310956489</v>
      </c>
      <c r="R10" s="984">
        <f t="shared" si="11"/>
        <v>573</v>
      </c>
      <c r="S10" s="985">
        <f t="shared" si="4"/>
        <v>31319.042514541048</v>
      </c>
      <c r="U10" s="1837"/>
      <c r="V10" s="985">
        <f t="shared" si="12"/>
        <v>2611</v>
      </c>
    </row>
    <row r="11" spans="1:22">
      <c r="A11" s="987">
        <v>5</v>
      </c>
      <c r="B11" s="988" t="s">
        <v>183</v>
      </c>
      <c r="C11" s="989">
        <f>'[12]Summary by Parish'!E11</f>
        <v>6.4742829999999998</v>
      </c>
      <c r="D11" s="990">
        <f>'Table 3 Levels 1&amp;2'!AP12</f>
        <v>5436.6430889086523</v>
      </c>
      <c r="E11" s="990">
        <f t="shared" si="1"/>
        <v>7156.7109588458525</v>
      </c>
      <c r="F11" s="990">
        <f t="shared" si="5"/>
        <v>8627.0583507080482</v>
      </c>
      <c r="G11" s="991">
        <f t="shared" si="6"/>
        <v>55854.017219997149</v>
      </c>
      <c r="H11" s="991">
        <f>4655*8</f>
        <v>37240</v>
      </c>
      <c r="I11" s="992">
        <f t="shared" si="7"/>
        <v>18614.017219997149</v>
      </c>
      <c r="J11" s="991">
        <f t="shared" si="8"/>
        <v>4654</v>
      </c>
      <c r="K11" s="993">
        <f>'Table 3 Levels 1&amp;2'!AS12</f>
        <v>7294778.5</v>
      </c>
      <c r="L11" s="994">
        <f>'Table 3 Levels 1&amp;2'!C12</f>
        <v>5802</v>
      </c>
      <c r="M11" s="994">
        <f t="shared" si="2"/>
        <v>5808.4742829999996</v>
      </c>
      <c r="N11" s="995">
        <f t="shared" si="9"/>
        <v>1255.8854777665201</v>
      </c>
      <c r="O11" s="996">
        <f t="shared" si="3"/>
        <v>8130.9579986506587</v>
      </c>
      <c r="P11" s="996">
        <f>678*8</f>
        <v>5424</v>
      </c>
      <c r="Q11" s="996">
        <f t="shared" si="10"/>
        <v>2706.9579986506587</v>
      </c>
      <c r="R11" s="996">
        <f t="shared" si="11"/>
        <v>677</v>
      </c>
      <c r="S11" s="997">
        <f t="shared" si="4"/>
        <v>63984.975218647807</v>
      </c>
      <c r="T11" s="975"/>
      <c r="U11" s="998"/>
      <c r="V11" s="997">
        <f t="shared" si="12"/>
        <v>5331</v>
      </c>
    </row>
    <row r="12" spans="1:22" ht="12.75" customHeight="1">
      <c r="A12" s="964">
        <v>6</v>
      </c>
      <c r="B12" s="965" t="s">
        <v>184</v>
      </c>
      <c r="C12" s="966">
        <f>'[12]Summary by Parish'!E12</f>
        <v>1.1776009999999999</v>
      </c>
      <c r="D12" s="967">
        <f>'Table 3 Levels 1&amp;2'!AP13</f>
        <v>6181.3844671822544</v>
      </c>
      <c r="E12" s="967">
        <f t="shared" si="1"/>
        <v>8137.0767279856791</v>
      </c>
      <c r="F12" s="967">
        <f t="shared" si="5"/>
        <v>9607.424119847874</v>
      </c>
      <c r="G12" s="968">
        <f t="shared" si="6"/>
        <v>11313.712250956974</v>
      </c>
      <c r="H12" s="968">
        <f>943*8</f>
        <v>7544</v>
      </c>
      <c r="I12" s="999">
        <f t="shared" si="7"/>
        <v>3769.7122509569745</v>
      </c>
      <c r="J12" s="968">
        <f t="shared" si="8"/>
        <v>942</v>
      </c>
      <c r="K12" s="969">
        <f>'Table 3 Levels 1&amp;2'!AS13</f>
        <v>17700149</v>
      </c>
      <c r="L12" s="970">
        <f>'Table 3 Levels 1&amp;2'!C13</f>
        <v>6041</v>
      </c>
      <c r="M12" s="970">
        <f t="shared" si="2"/>
        <v>6042.1776010000003</v>
      </c>
      <c r="N12" s="971">
        <f t="shared" si="9"/>
        <v>2929.4320969761907</v>
      </c>
      <c r="O12" s="972">
        <f t="shared" si="3"/>
        <v>3449.7021668312586</v>
      </c>
      <c r="P12" s="972">
        <f>287*8</f>
        <v>2296</v>
      </c>
      <c r="Q12" s="972">
        <f t="shared" si="10"/>
        <v>1153.7021668312586</v>
      </c>
      <c r="R12" s="972">
        <f t="shared" si="11"/>
        <v>288</v>
      </c>
      <c r="S12" s="973">
        <f t="shared" si="4"/>
        <v>14763.414417788234</v>
      </c>
      <c r="T12" s="974" t="s">
        <v>785</v>
      </c>
      <c r="U12" s="1834" t="s">
        <v>786</v>
      </c>
      <c r="V12" s="973">
        <f t="shared" si="12"/>
        <v>1230</v>
      </c>
    </row>
    <row r="13" spans="1:22">
      <c r="A13" s="976">
        <v>7</v>
      </c>
      <c r="B13" s="977" t="s">
        <v>185</v>
      </c>
      <c r="C13" s="978">
        <f>'[12]Summary by Parish'!E13</f>
        <v>0.25905299999999998</v>
      </c>
      <c r="D13" s="979">
        <f>'Table 3 Levels 1&amp;2'!AP14</f>
        <v>2296.8908450704225</v>
      </c>
      <c r="E13" s="979">
        <f t="shared" si="1"/>
        <v>3023.5907734542848</v>
      </c>
      <c r="F13" s="979">
        <f t="shared" si="5"/>
        <v>4493.9381653164801</v>
      </c>
      <c r="G13" s="980">
        <f t="shared" si="6"/>
        <v>1164.1681635397299</v>
      </c>
      <c r="H13" s="980">
        <f>97*8</f>
        <v>776</v>
      </c>
      <c r="I13" s="981">
        <f t="shared" si="7"/>
        <v>388.1681635397299</v>
      </c>
      <c r="J13" s="980">
        <f t="shared" si="8"/>
        <v>97</v>
      </c>
      <c r="K13" s="969">
        <f>'Table 3 Levels 1&amp;2'!AS14</f>
        <v>13467249.75</v>
      </c>
      <c r="L13" s="982">
        <f>'Table 3 Levels 1&amp;2'!C14</f>
        <v>2201</v>
      </c>
      <c r="M13" s="982">
        <f t="shared" si="2"/>
        <v>2201.2590530000002</v>
      </c>
      <c r="N13" s="983">
        <f t="shared" si="9"/>
        <v>6117.9758609719611</v>
      </c>
      <c r="O13" s="984">
        <f t="shared" si="3"/>
        <v>1584.8800007123693</v>
      </c>
      <c r="P13" s="984">
        <f>132*8</f>
        <v>1056</v>
      </c>
      <c r="Q13" s="984">
        <f t="shared" si="10"/>
        <v>528.88000071236934</v>
      </c>
      <c r="R13" s="984">
        <f t="shared" si="11"/>
        <v>132</v>
      </c>
      <c r="S13" s="985">
        <f t="shared" si="4"/>
        <v>2749.048164252099</v>
      </c>
      <c r="T13" s="974"/>
      <c r="U13" s="1834"/>
      <c r="V13" s="985">
        <f t="shared" si="12"/>
        <v>229</v>
      </c>
    </row>
    <row r="14" spans="1:22">
      <c r="A14" s="976">
        <v>8</v>
      </c>
      <c r="B14" s="977" t="s">
        <v>186</v>
      </c>
      <c r="C14" s="978">
        <f>'[12]Summary by Parish'!E14</f>
        <v>1.1160000000000001</v>
      </c>
      <c r="D14" s="979">
        <f>'Table 3 Levels 1&amp;2'!AP15</f>
        <v>4727.0996412265986</v>
      </c>
      <c r="E14" s="979">
        <f t="shared" si="1"/>
        <v>6222.6791887333193</v>
      </c>
      <c r="F14" s="979">
        <f t="shared" si="5"/>
        <v>7693.0265805955141</v>
      </c>
      <c r="G14" s="980">
        <f t="shared" si="6"/>
        <v>8585.4176639445941</v>
      </c>
      <c r="H14" s="980">
        <f>715*8</f>
        <v>5720</v>
      </c>
      <c r="I14" s="981">
        <f t="shared" si="7"/>
        <v>2865.4176639445941</v>
      </c>
      <c r="J14" s="980">
        <f t="shared" si="8"/>
        <v>716</v>
      </c>
      <c r="K14" s="969">
        <f>'Table 3 Levels 1&amp;2'!AS15</f>
        <v>71610043.099999994</v>
      </c>
      <c r="L14" s="982">
        <f>'Table 3 Levels 1&amp;2'!C15</f>
        <v>20302</v>
      </c>
      <c r="M14" s="982">
        <f t="shared" si="2"/>
        <v>20303.116000000002</v>
      </c>
      <c r="N14" s="983">
        <f t="shared" si="9"/>
        <v>3527.0469370317337</v>
      </c>
      <c r="O14" s="984">
        <f t="shared" si="3"/>
        <v>3936.1843817274153</v>
      </c>
      <c r="P14" s="984">
        <f>328*8</f>
        <v>2624</v>
      </c>
      <c r="Q14" s="984">
        <f t="shared" si="10"/>
        <v>1312.1843817274153</v>
      </c>
      <c r="R14" s="984">
        <f t="shared" si="11"/>
        <v>328</v>
      </c>
      <c r="S14" s="985">
        <f t="shared" si="4"/>
        <v>12521.602045672009</v>
      </c>
      <c r="T14" s="974"/>
      <c r="U14" s="1834"/>
      <c r="V14" s="985">
        <f t="shared" si="12"/>
        <v>1044</v>
      </c>
    </row>
    <row r="15" spans="1:22">
      <c r="A15" s="976">
        <v>9</v>
      </c>
      <c r="B15" s="977" t="s">
        <v>77</v>
      </c>
      <c r="C15" s="978">
        <f>'[12]Summary by Parish'!E15</f>
        <v>35.732145000000003</v>
      </c>
      <c r="D15" s="979">
        <f>'Table 3 Levels 1&amp;2'!AP16</f>
        <v>5129.6712825532313</v>
      </c>
      <c r="E15" s="979">
        <f t="shared" si="1"/>
        <v>6752.6181290107506</v>
      </c>
      <c r="F15" s="979">
        <f t="shared" si="5"/>
        <v>8222.9655208729455</v>
      </c>
      <c r="G15" s="980">
        <f t="shared" si="6"/>
        <v>293824.19632183266</v>
      </c>
      <c r="H15" s="980">
        <f>24485*8</f>
        <v>195880</v>
      </c>
      <c r="I15" s="981">
        <f t="shared" si="7"/>
        <v>97944.196321832656</v>
      </c>
      <c r="J15" s="980">
        <f t="shared" si="8"/>
        <v>24486</v>
      </c>
      <c r="K15" s="969">
        <f>'Table 3 Levels 1&amp;2'!AS16</f>
        <v>143808058.30000001</v>
      </c>
      <c r="L15" s="982">
        <f>'Table 3 Levels 1&amp;2'!C16</f>
        <v>41412</v>
      </c>
      <c r="M15" s="982">
        <f t="shared" si="2"/>
        <v>41447.732145000002</v>
      </c>
      <c r="N15" s="983">
        <f t="shared" si="9"/>
        <v>3469.6242920337472</v>
      </c>
      <c r="O15" s="984">
        <f t="shared" si="3"/>
        <v>123977.11829847221</v>
      </c>
      <c r="P15" s="984">
        <f>10331*8</f>
        <v>82648</v>
      </c>
      <c r="Q15" s="984">
        <f t="shared" si="10"/>
        <v>41329.118298472211</v>
      </c>
      <c r="R15" s="984">
        <f t="shared" si="11"/>
        <v>10332</v>
      </c>
      <c r="S15" s="985">
        <f t="shared" si="4"/>
        <v>417801.31462030485</v>
      </c>
      <c r="T15" s="974"/>
      <c r="V15" s="985">
        <f t="shared" si="12"/>
        <v>34818</v>
      </c>
    </row>
    <row r="16" spans="1:22">
      <c r="A16" s="987">
        <v>10</v>
      </c>
      <c r="B16" s="988" t="s">
        <v>187</v>
      </c>
      <c r="C16" s="989">
        <f>'[12]Summary by Parish'!E16</f>
        <v>5.0043819999999997</v>
      </c>
      <c r="D16" s="990">
        <f>'Table 3 Levels 1&amp;2'!AP17</f>
        <v>4920.1843116546388</v>
      </c>
      <c r="E16" s="990">
        <f t="shared" si="1"/>
        <v>6476.8527944380276</v>
      </c>
      <c r="F16" s="990">
        <f t="shared" si="5"/>
        <v>7947.2001863002224</v>
      </c>
      <c r="G16" s="991">
        <f t="shared" si="6"/>
        <v>39770.82556271748</v>
      </c>
      <c r="H16" s="991">
        <f>3314*8</f>
        <v>26512</v>
      </c>
      <c r="I16" s="992">
        <f t="shared" si="7"/>
        <v>13258.82556271748</v>
      </c>
      <c r="J16" s="991">
        <f t="shared" si="8"/>
        <v>3315</v>
      </c>
      <c r="K16" s="993">
        <f>'Table 3 Levels 1&amp;2'!AS17</f>
        <v>119363177.3</v>
      </c>
      <c r="L16" s="994">
        <f>'Table 3 Levels 1&amp;2'!C17</f>
        <v>31370</v>
      </c>
      <c r="M16" s="994">
        <f t="shared" si="2"/>
        <v>31375.004381999999</v>
      </c>
      <c r="N16" s="995">
        <f t="shared" si="9"/>
        <v>3804.4035260272112</v>
      </c>
      <c r="O16" s="996">
        <f t="shared" si="3"/>
        <v>19038.688526387105</v>
      </c>
      <c r="P16" s="996">
        <f>1587*8</f>
        <v>12696</v>
      </c>
      <c r="Q16" s="996">
        <f t="shared" si="10"/>
        <v>6342.6885263871045</v>
      </c>
      <c r="R16" s="996">
        <f t="shared" si="11"/>
        <v>1586</v>
      </c>
      <c r="S16" s="997">
        <f t="shared" si="4"/>
        <v>58809.514089104588</v>
      </c>
      <c r="T16" s="975"/>
      <c r="U16" s="1837"/>
      <c r="V16" s="997">
        <f t="shared" si="12"/>
        <v>4901</v>
      </c>
    </row>
    <row r="17" spans="1:22">
      <c r="A17" s="964">
        <v>11</v>
      </c>
      <c r="B17" s="965" t="s">
        <v>188</v>
      </c>
      <c r="C17" s="966">
        <f>'[12]Summary by Parish'!E17</f>
        <v>0</v>
      </c>
      <c r="D17" s="967">
        <f>'Table 3 Levels 1&amp;2'!AP18</f>
        <v>7373.9143206118379</v>
      </c>
      <c r="E17" s="967">
        <f t="shared" si="1"/>
        <v>9706.9041621613451</v>
      </c>
      <c r="F17" s="967">
        <f t="shared" si="5"/>
        <v>11177.25155402354</v>
      </c>
      <c r="G17" s="968">
        <f t="shared" si="6"/>
        <v>0</v>
      </c>
      <c r="H17" s="968">
        <f>0*8</f>
        <v>0</v>
      </c>
      <c r="I17" s="999">
        <f t="shared" si="7"/>
        <v>0</v>
      </c>
      <c r="J17" s="968">
        <f t="shared" si="8"/>
        <v>0</v>
      </c>
      <c r="K17" s="969">
        <f>'Table 3 Levels 1&amp;2'!AS18</f>
        <v>4971692.5</v>
      </c>
      <c r="L17" s="970">
        <f>'Table 3 Levels 1&amp;2'!C18</f>
        <v>1605</v>
      </c>
      <c r="M17" s="970">
        <f t="shared" si="2"/>
        <v>1605</v>
      </c>
      <c r="N17" s="971">
        <f t="shared" si="9"/>
        <v>3097.6277258566979</v>
      </c>
      <c r="O17" s="972">
        <f t="shared" si="3"/>
        <v>0</v>
      </c>
      <c r="P17" s="972">
        <f>0*8</f>
        <v>0</v>
      </c>
      <c r="Q17" s="972">
        <f t="shared" si="10"/>
        <v>0</v>
      </c>
      <c r="R17" s="972">
        <f t="shared" si="11"/>
        <v>0</v>
      </c>
      <c r="S17" s="973">
        <f t="shared" si="4"/>
        <v>0</v>
      </c>
      <c r="T17" s="974"/>
      <c r="U17" s="1837"/>
      <c r="V17" s="973">
        <f t="shared" si="12"/>
        <v>0</v>
      </c>
    </row>
    <row r="18" spans="1:22">
      <c r="A18" s="976">
        <v>12</v>
      </c>
      <c r="B18" s="977" t="s">
        <v>189</v>
      </c>
      <c r="C18" s="978">
        <f>'[12]Summary by Parish'!E18</f>
        <v>0</v>
      </c>
      <c r="D18" s="979">
        <f>'Table 3 Levels 1&amp;2'!AP19</f>
        <v>2689.8360887096774</v>
      </c>
      <c r="E18" s="979">
        <f t="shared" si="1"/>
        <v>3540.85767609805</v>
      </c>
      <c r="F18" s="979">
        <f t="shared" si="5"/>
        <v>5011.2050679602453</v>
      </c>
      <c r="G18" s="980">
        <f t="shared" si="6"/>
        <v>0</v>
      </c>
      <c r="H18" s="968">
        <f t="shared" ref="H18:H19" si="13">0*8</f>
        <v>0</v>
      </c>
      <c r="I18" s="981">
        <f t="shared" si="7"/>
        <v>0</v>
      </c>
      <c r="J18" s="980">
        <f t="shared" si="8"/>
        <v>0</v>
      </c>
      <c r="K18" s="969">
        <f>'Table 3 Levels 1&amp;2'!AS19</f>
        <v>8055138.1500000004</v>
      </c>
      <c r="L18" s="982">
        <f>'Table 3 Levels 1&amp;2'!C19</f>
        <v>1240</v>
      </c>
      <c r="M18" s="982">
        <f t="shared" si="2"/>
        <v>1240</v>
      </c>
      <c r="N18" s="983">
        <f t="shared" si="9"/>
        <v>6496.0791532258072</v>
      </c>
      <c r="O18" s="984">
        <f t="shared" si="3"/>
        <v>0</v>
      </c>
      <c r="P18" s="972">
        <f t="shared" ref="P18:P19" si="14">0*8</f>
        <v>0</v>
      </c>
      <c r="Q18" s="984">
        <f t="shared" si="10"/>
        <v>0</v>
      </c>
      <c r="R18" s="984">
        <f t="shared" si="11"/>
        <v>0</v>
      </c>
      <c r="S18" s="985">
        <f t="shared" si="4"/>
        <v>0</v>
      </c>
      <c r="T18" s="974"/>
      <c r="U18" s="1837"/>
      <c r="V18" s="985">
        <f t="shared" si="12"/>
        <v>0</v>
      </c>
    </row>
    <row r="19" spans="1:22">
      <c r="A19" s="976">
        <v>13</v>
      </c>
      <c r="B19" s="977" t="s">
        <v>190</v>
      </c>
      <c r="C19" s="978">
        <f>'[12]Summary by Parish'!E19</f>
        <v>0</v>
      </c>
      <c r="D19" s="979">
        <f>'Table 3 Levels 1&amp;2'!AP20</f>
        <v>6725.4744471392742</v>
      </c>
      <c r="E19" s="979">
        <f t="shared" si="1"/>
        <v>8853.308170527971</v>
      </c>
      <c r="F19" s="979">
        <f t="shared" si="5"/>
        <v>10323.655562390166</v>
      </c>
      <c r="G19" s="980">
        <f t="shared" si="6"/>
        <v>0</v>
      </c>
      <c r="H19" s="968">
        <f t="shared" si="13"/>
        <v>0</v>
      </c>
      <c r="I19" s="981">
        <f t="shared" si="7"/>
        <v>0</v>
      </c>
      <c r="J19" s="980">
        <f t="shared" si="8"/>
        <v>0</v>
      </c>
      <c r="K19" s="969">
        <f>'Table 3 Levels 1&amp;2'!AS20</f>
        <v>3421469.5</v>
      </c>
      <c r="L19" s="982">
        <f>'Table 3 Levels 1&amp;2'!C20</f>
        <v>1515</v>
      </c>
      <c r="M19" s="982">
        <f t="shared" si="2"/>
        <v>1515</v>
      </c>
      <c r="N19" s="983">
        <f t="shared" si="9"/>
        <v>2258.395709570957</v>
      </c>
      <c r="O19" s="984">
        <f t="shared" si="3"/>
        <v>0</v>
      </c>
      <c r="P19" s="972">
        <f t="shared" si="14"/>
        <v>0</v>
      </c>
      <c r="Q19" s="984">
        <f t="shared" si="10"/>
        <v>0</v>
      </c>
      <c r="R19" s="984">
        <f t="shared" si="11"/>
        <v>0</v>
      </c>
      <c r="S19" s="985">
        <f t="shared" si="4"/>
        <v>0</v>
      </c>
      <c r="T19" s="974"/>
      <c r="U19" s="1000" t="s">
        <v>787</v>
      </c>
      <c r="V19" s="985">
        <f t="shared" si="12"/>
        <v>0</v>
      </c>
    </row>
    <row r="20" spans="1:22" ht="12.75" customHeight="1">
      <c r="A20" s="976">
        <v>14</v>
      </c>
      <c r="B20" s="977" t="s">
        <v>191</v>
      </c>
      <c r="C20" s="978">
        <f>'[12]Summary by Parish'!E20</f>
        <v>0.22562699999999999</v>
      </c>
      <c r="D20" s="979">
        <f>'Table 3 Levels 1&amp;2'!AP21</f>
        <v>6558.9582174486814</v>
      </c>
      <c r="E20" s="979">
        <f t="shared" si="1"/>
        <v>8634.1088399183209</v>
      </c>
      <c r="F20" s="979">
        <f t="shared" si="5"/>
        <v>10104.456231780516</v>
      </c>
      <c r="G20" s="980">
        <f t="shared" si="6"/>
        <v>2279.8381462079424</v>
      </c>
      <c r="H20" s="980">
        <f>190*8</f>
        <v>1520</v>
      </c>
      <c r="I20" s="981">
        <f t="shared" si="7"/>
        <v>759.83814620794237</v>
      </c>
      <c r="J20" s="980">
        <f t="shared" si="8"/>
        <v>190</v>
      </c>
      <c r="K20" s="969">
        <f>'Table 3 Levels 1&amp;2'!AS21</f>
        <v>7802621.7999999998</v>
      </c>
      <c r="L20" s="982">
        <f>'Table 3 Levels 1&amp;2'!C21</f>
        <v>2009</v>
      </c>
      <c r="M20" s="982">
        <f t="shared" si="2"/>
        <v>2009.225627</v>
      </c>
      <c r="N20" s="983">
        <f t="shared" si="9"/>
        <v>3883.3975115329345</v>
      </c>
      <c r="O20" s="984">
        <f t="shared" si="3"/>
        <v>876.19933033464133</v>
      </c>
      <c r="P20" s="984">
        <f>73*8</f>
        <v>584</v>
      </c>
      <c r="Q20" s="984">
        <f t="shared" si="10"/>
        <v>292.19933033464133</v>
      </c>
      <c r="R20" s="984">
        <f t="shared" si="11"/>
        <v>73</v>
      </c>
      <c r="S20" s="985">
        <f t="shared" si="4"/>
        <v>3156.0374765425836</v>
      </c>
      <c r="T20" s="974"/>
      <c r="U20" s="1834" t="s">
        <v>788</v>
      </c>
      <c r="V20" s="985">
        <f t="shared" si="12"/>
        <v>263</v>
      </c>
    </row>
    <row r="21" spans="1:22">
      <c r="A21" s="987">
        <v>15</v>
      </c>
      <c r="B21" s="988" t="s">
        <v>192</v>
      </c>
      <c r="C21" s="989">
        <f>'[12]Summary by Parish'!E21</f>
        <v>1.0974930000000001</v>
      </c>
      <c r="D21" s="990">
        <f>'Table 3 Levels 1&amp;2'!AP22</f>
        <v>5952.3770826868904</v>
      </c>
      <c r="E21" s="990">
        <f t="shared" si="1"/>
        <v>7835.6150297516688</v>
      </c>
      <c r="F21" s="990">
        <f t="shared" si="5"/>
        <v>9305.9624216138636</v>
      </c>
      <c r="G21" s="991">
        <f t="shared" si="6"/>
        <v>10213.228615984264</v>
      </c>
      <c r="H21" s="991">
        <f>851*8</f>
        <v>6808</v>
      </c>
      <c r="I21" s="992">
        <f t="shared" si="7"/>
        <v>3405.2286159842643</v>
      </c>
      <c r="J21" s="991">
        <f t="shared" si="8"/>
        <v>851</v>
      </c>
      <c r="K21" s="993">
        <f>'Table 3 Levels 1&amp;2'!AS22</f>
        <v>9166405</v>
      </c>
      <c r="L21" s="994">
        <f>'Table 3 Levels 1&amp;2'!C22</f>
        <v>3692</v>
      </c>
      <c r="M21" s="994">
        <f t="shared" si="2"/>
        <v>3693.0974930000002</v>
      </c>
      <c r="N21" s="995">
        <f t="shared" si="9"/>
        <v>2482.0371022899503</v>
      </c>
      <c r="O21" s="996">
        <f t="shared" si="3"/>
        <v>2724.0183455035044</v>
      </c>
      <c r="P21" s="996">
        <f>227*8</f>
        <v>1816</v>
      </c>
      <c r="Q21" s="996">
        <f t="shared" si="10"/>
        <v>908.01834550350441</v>
      </c>
      <c r="R21" s="996">
        <f t="shared" si="11"/>
        <v>227</v>
      </c>
      <c r="S21" s="997">
        <f t="shared" si="4"/>
        <v>12937.246961487768</v>
      </c>
      <c r="T21" s="975"/>
      <c r="U21" s="1834"/>
      <c r="V21" s="997">
        <f t="shared" si="12"/>
        <v>1078</v>
      </c>
    </row>
    <row r="22" spans="1:22">
      <c r="A22" s="964">
        <v>16</v>
      </c>
      <c r="B22" s="965" t="s">
        <v>193</v>
      </c>
      <c r="C22" s="966">
        <f>'[12]Summary by Parish'!E22</f>
        <v>3.0294940000000001</v>
      </c>
      <c r="D22" s="967">
        <f>'Table 3 Levels 1&amp;2'!AP23</f>
        <v>2199.9256467821251</v>
      </c>
      <c r="E22" s="967">
        <f t="shared" si="1"/>
        <v>2895.9473203403113</v>
      </c>
      <c r="F22" s="967">
        <f t="shared" si="5"/>
        <v>4366.2947122025062</v>
      </c>
      <c r="G22" s="968">
        <f t="shared" si="6"/>
        <v>13227.66363284922</v>
      </c>
      <c r="H22" s="968">
        <f>1102*8</f>
        <v>8816</v>
      </c>
      <c r="I22" s="999">
        <f t="shared" si="7"/>
        <v>4411.6636328492204</v>
      </c>
      <c r="J22" s="968">
        <f t="shared" si="8"/>
        <v>1103</v>
      </c>
      <c r="K22" s="969">
        <f>'Table 3 Levels 1&amp;2'!AS23</f>
        <v>27896746.050000001</v>
      </c>
      <c r="L22" s="970">
        <f>'Table 3 Levels 1&amp;2'!C23</f>
        <v>4677</v>
      </c>
      <c r="M22" s="970">
        <f t="shared" si="2"/>
        <v>4680.0294940000003</v>
      </c>
      <c r="N22" s="971">
        <f t="shared" si="9"/>
        <v>5960.8056072648333</v>
      </c>
      <c r="O22" s="972">
        <f t="shared" si="3"/>
        <v>18058.22482237517</v>
      </c>
      <c r="P22" s="972">
        <f>1505*8</f>
        <v>12040</v>
      </c>
      <c r="Q22" s="972">
        <f t="shared" si="10"/>
        <v>6018.2248223751703</v>
      </c>
      <c r="R22" s="972">
        <f t="shared" si="11"/>
        <v>1505</v>
      </c>
      <c r="S22" s="973">
        <f t="shared" si="4"/>
        <v>31285.888455224391</v>
      </c>
      <c r="T22" s="974"/>
      <c r="U22" s="1834"/>
      <c r="V22" s="973">
        <f t="shared" si="12"/>
        <v>2608</v>
      </c>
    </row>
    <row r="23" spans="1:22">
      <c r="A23" s="976">
        <v>17</v>
      </c>
      <c r="B23" s="977" t="s">
        <v>75</v>
      </c>
      <c r="C23" s="978">
        <f>'[12]Summary by Parish'!E23</f>
        <v>39.806348999999997</v>
      </c>
      <c r="D23" s="979">
        <f>'Table 3 Levels 1&amp;2'!AP24</f>
        <v>4067.9837657522135</v>
      </c>
      <c r="E23" s="979">
        <f t="shared" si="1"/>
        <v>5355.0294769506536</v>
      </c>
      <c r="F23" s="979">
        <f t="shared" si="5"/>
        <v>6825.3768688128484</v>
      </c>
      <c r="G23" s="980">
        <f t="shared" si="6"/>
        <v>271693.33369649143</v>
      </c>
      <c r="H23" s="980">
        <f>22641*8</f>
        <v>181128</v>
      </c>
      <c r="I23" s="981">
        <f t="shared" si="7"/>
        <v>90565.333696491434</v>
      </c>
      <c r="J23" s="980">
        <f t="shared" si="8"/>
        <v>22641</v>
      </c>
      <c r="K23" s="969">
        <f>'Table 3 Levels 1&amp;2'!AS24</f>
        <v>199949908.69999999</v>
      </c>
      <c r="L23" s="982">
        <f>'Table 3 Levels 1&amp;2'!C24</f>
        <v>43218</v>
      </c>
      <c r="M23" s="982">
        <f t="shared" si="2"/>
        <v>43257.806348999999</v>
      </c>
      <c r="N23" s="983">
        <f t="shared" si="9"/>
        <v>4622.2849833582068</v>
      </c>
      <c r="O23" s="984">
        <f t="shared" si="3"/>
        <v>183996.28922501596</v>
      </c>
      <c r="P23" s="984">
        <f>15333*8</f>
        <v>122664</v>
      </c>
      <c r="Q23" s="984">
        <f t="shared" si="10"/>
        <v>61332.289225015964</v>
      </c>
      <c r="R23" s="984">
        <f t="shared" si="11"/>
        <v>15333</v>
      </c>
      <c r="S23" s="985">
        <f t="shared" si="4"/>
        <v>455689.6229215074</v>
      </c>
      <c r="T23" s="974"/>
      <c r="U23" s="975"/>
      <c r="V23" s="985">
        <f t="shared" si="12"/>
        <v>37974</v>
      </c>
    </row>
    <row r="24" spans="1:22">
      <c r="A24" s="976">
        <v>18</v>
      </c>
      <c r="B24" s="977" t="s">
        <v>194</v>
      </c>
      <c r="C24" s="978">
        <f>'[12]Summary by Parish'!E24</f>
        <v>3.948747</v>
      </c>
      <c r="D24" s="979">
        <f>'Table 3 Levels 1&amp;2'!AP25</f>
        <v>6615.2955867171104</v>
      </c>
      <c r="E24" s="979">
        <f t="shared" si="1"/>
        <v>8708.2704616106585</v>
      </c>
      <c r="F24" s="979">
        <f t="shared" si="5"/>
        <v>10178.617853472853</v>
      </c>
      <c r="G24" s="980">
        <f t="shared" si="6"/>
        <v>40192.786713047368</v>
      </c>
      <c r="H24" s="980">
        <f>3349*8</f>
        <v>26792</v>
      </c>
      <c r="I24" s="981">
        <f t="shared" si="7"/>
        <v>13400.786713047368</v>
      </c>
      <c r="J24" s="980">
        <f t="shared" si="8"/>
        <v>3350</v>
      </c>
      <c r="K24" s="969">
        <f>'Table 3 Levels 1&amp;2'!AS25</f>
        <v>2080927</v>
      </c>
      <c r="L24" s="982">
        <f>'Table 3 Levels 1&amp;2'!C25</f>
        <v>1163</v>
      </c>
      <c r="M24" s="982">
        <f t="shared" si="2"/>
        <v>1166.9487469999999</v>
      </c>
      <c r="N24" s="983">
        <f t="shared" si="9"/>
        <v>1783.2205616139199</v>
      </c>
      <c r="O24" s="984">
        <f t="shared" si="3"/>
        <v>7041.4868430112811</v>
      </c>
      <c r="P24" s="984">
        <f>587*8</f>
        <v>4696</v>
      </c>
      <c r="Q24" s="984">
        <f t="shared" si="10"/>
        <v>2345.4868430112811</v>
      </c>
      <c r="R24" s="984">
        <f t="shared" si="11"/>
        <v>586</v>
      </c>
      <c r="S24" s="985">
        <f t="shared" si="4"/>
        <v>47234.273556058652</v>
      </c>
      <c r="T24" s="974"/>
      <c r="U24" s="975"/>
      <c r="V24" s="985">
        <f t="shared" si="12"/>
        <v>3936</v>
      </c>
    </row>
    <row r="25" spans="1:22">
      <c r="A25" s="976">
        <v>19</v>
      </c>
      <c r="B25" s="977" t="s">
        <v>195</v>
      </c>
      <c r="C25" s="978">
        <f>'[12]Summary by Parish'!E25</f>
        <v>0.47386200000000001</v>
      </c>
      <c r="D25" s="979">
        <f>'Table 3 Levels 1&amp;2'!AP26</f>
        <v>6109.5929782063331</v>
      </c>
      <c r="E25" s="979">
        <f t="shared" si="1"/>
        <v>8042.5715475823481</v>
      </c>
      <c r="F25" s="979">
        <f t="shared" si="5"/>
        <v>9512.918939444542</v>
      </c>
      <c r="G25" s="980">
        <f t="shared" si="6"/>
        <v>4507.8107944830699</v>
      </c>
      <c r="H25" s="980">
        <f>376*8</f>
        <v>3008</v>
      </c>
      <c r="I25" s="981">
        <f t="shared" si="7"/>
        <v>1499.8107944830699</v>
      </c>
      <c r="J25" s="980">
        <f t="shared" si="8"/>
        <v>375</v>
      </c>
      <c r="K25" s="969">
        <f>'Table 3 Levels 1&amp;2'!AS26</f>
        <v>4225743.5</v>
      </c>
      <c r="L25" s="982">
        <f>'Table 3 Levels 1&amp;2'!C26</f>
        <v>1958</v>
      </c>
      <c r="M25" s="982">
        <f t="shared" si="2"/>
        <v>1958.4738620000001</v>
      </c>
      <c r="N25" s="983">
        <f t="shared" si="9"/>
        <v>2157.6716350376291</v>
      </c>
      <c r="O25" s="984">
        <f t="shared" si="3"/>
        <v>1022.4385963222011</v>
      </c>
      <c r="P25" s="984">
        <f>85*8</f>
        <v>680</v>
      </c>
      <c r="Q25" s="984">
        <f t="shared" si="10"/>
        <v>342.43859632220108</v>
      </c>
      <c r="R25" s="984">
        <f t="shared" si="11"/>
        <v>86</v>
      </c>
      <c r="S25" s="985">
        <f t="shared" si="4"/>
        <v>5530.2493908052711</v>
      </c>
      <c r="T25" s="974"/>
      <c r="U25" s="975"/>
      <c r="V25" s="985">
        <f t="shared" si="12"/>
        <v>461</v>
      </c>
    </row>
    <row r="26" spans="1:22">
      <c r="A26" s="987">
        <v>20</v>
      </c>
      <c r="B26" s="988" t="s">
        <v>196</v>
      </c>
      <c r="C26" s="989">
        <f>'[12]Summary by Parish'!E26</f>
        <v>6.8221930000000004</v>
      </c>
      <c r="D26" s="990">
        <f>'Table 3 Levels 1&amp;2'!AP27</f>
        <v>6024.3656317676787</v>
      </c>
      <c r="E26" s="990">
        <f t="shared" si="1"/>
        <v>7930.3796169597126</v>
      </c>
      <c r="F26" s="990">
        <f t="shared" si="5"/>
        <v>9400.7270088219084</v>
      </c>
      <c r="G26" s="991">
        <f t="shared" si="6"/>
        <v>64133.573994495768</v>
      </c>
      <c r="H26" s="991">
        <f>5344*8</f>
        <v>42752</v>
      </c>
      <c r="I26" s="992">
        <f t="shared" si="7"/>
        <v>21381.573994495768</v>
      </c>
      <c r="J26" s="991">
        <f t="shared" si="8"/>
        <v>5345</v>
      </c>
      <c r="K26" s="993">
        <f>'Table 3 Levels 1&amp;2'!AS27</f>
        <v>12789964.5</v>
      </c>
      <c r="L26" s="994">
        <f>'Table 3 Levels 1&amp;2'!C27</f>
        <v>5699</v>
      </c>
      <c r="M26" s="994">
        <f t="shared" si="2"/>
        <v>5705.822193</v>
      </c>
      <c r="N26" s="995">
        <f t="shared" si="9"/>
        <v>2241.5638040195058</v>
      </c>
      <c r="O26" s="996">
        <f t="shared" si="3"/>
        <v>15292.380892835245</v>
      </c>
      <c r="P26" s="996">
        <f>1274*8</f>
        <v>10192</v>
      </c>
      <c r="Q26" s="996">
        <f t="shared" si="10"/>
        <v>5100.3808928352446</v>
      </c>
      <c r="R26" s="996">
        <f t="shared" si="11"/>
        <v>1275</v>
      </c>
      <c r="S26" s="997">
        <f t="shared" si="4"/>
        <v>79425.954887331012</v>
      </c>
      <c r="T26" s="975"/>
      <c r="U26" s="975"/>
      <c r="V26" s="997">
        <f t="shared" si="12"/>
        <v>6620</v>
      </c>
    </row>
    <row r="27" spans="1:22">
      <c r="A27" s="964">
        <v>21</v>
      </c>
      <c r="B27" s="965" t="s">
        <v>197</v>
      </c>
      <c r="C27" s="966">
        <f>'[12]Summary by Parish'!E27</f>
        <v>7.6798890000000002</v>
      </c>
      <c r="D27" s="967">
        <f>'Table 3 Levels 1&amp;2'!AP28</f>
        <v>6229.4561182908346</v>
      </c>
      <c r="E27" s="967">
        <f t="shared" si="1"/>
        <v>8200.3574890495165</v>
      </c>
      <c r="F27" s="967">
        <f t="shared" si="5"/>
        <v>9670.7048809117114</v>
      </c>
      <c r="G27" s="968">
        <f t="shared" si="6"/>
        <v>74269.940037160166</v>
      </c>
      <c r="H27" s="968">
        <f>6189*8</f>
        <v>49512</v>
      </c>
      <c r="I27" s="999">
        <f t="shared" si="7"/>
        <v>24757.940037160166</v>
      </c>
      <c r="J27" s="968">
        <f t="shared" si="8"/>
        <v>6189</v>
      </c>
      <c r="K27" s="969">
        <f>'Table 3 Levels 1&amp;2'!AS28</f>
        <v>6081817</v>
      </c>
      <c r="L27" s="970">
        <f>'Table 3 Levels 1&amp;2'!C28</f>
        <v>2902</v>
      </c>
      <c r="M27" s="970">
        <f t="shared" si="2"/>
        <v>2909.679889</v>
      </c>
      <c r="N27" s="971">
        <f t="shared" si="9"/>
        <v>2090.2014077191843</v>
      </c>
      <c r="O27" s="972">
        <f t="shared" si="3"/>
        <v>16052.514798927079</v>
      </c>
      <c r="P27" s="972">
        <f>1338*8</f>
        <v>10704</v>
      </c>
      <c r="Q27" s="972">
        <f t="shared" si="10"/>
        <v>5348.514798927079</v>
      </c>
      <c r="R27" s="972">
        <f t="shared" si="11"/>
        <v>1337</v>
      </c>
      <c r="S27" s="973">
        <f t="shared" si="4"/>
        <v>90322.454836087243</v>
      </c>
      <c r="T27" s="974"/>
      <c r="U27" s="975"/>
      <c r="V27" s="973">
        <f t="shared" si="12"/>
        <v>7526</v>
      </c>
    </row>
    <row r="28" spans="1:22">
      <c r="A28" s="976">
        <v>22</v>
      </c>
      <c r="B28" s="977" t="s">
        <v>198</v>
      </c>
      <c r="C28" s="978">
        <f>'[12]Summary by Parish'!E28</f>
        <v>0.27600000000000002</v>
      </c>
      <c r="D28" s="979">
        <f>'Table 3 Levels 1&amp;2'!AP29</f>
        <v>6682.6133133696312</v>
      </c>
      <c r="E28" s="979">
        <f t="shared" si="1"/>
        <v>8796.8864520628485</v>
      </c>
      <c r="F28" s="979">
        <f t="shared" si="5"/>
        <v>10267.233843925043</v>
      </c>
      <c r="G28" s="980">
        <f t="shared" si="6"/>
        <v>2833.7565409233121</v>
      </c>
      <c r="H28" s="980">
        <f>236*8</f>
        <v>1888</v>
      </c>
      <c r="I28" s="981">
        <f t="shared" si="7"/>
        <v>945.75654092331206</v>
      </c>
      <c r="J28" s="980">
        <f t="shared" si="8"/>
        <v>236</v>
      </c>
      <c r="K28" s="969">
        <f>'Table 3 Levels 1&amp;2'!AS29</f>
        <v>5012748</v>
      </c>
      <c r="L28" s="982">
        <f>'Table 3 Levels 1&amp;2'!C29</f>
        <v>3306</v>
      </c>
      <c r="M28" s="982">
        <f t="shared" si="2"/>
        <v>3306.2759999999998</v>
      </c>
      <c r="N28" s="983">
        <f t="shared" si="9"/>
        <v>1516.1311396870678</v>
      </c>
      <c r="O28" s="984">
        <f t="shared" si="3"/>
        <v>418.45219455363076</v>
      </c>
      <c r="P28" s="984">
        <f>35*8</f>
        <v>280</v>
      </c>
      <c r="Q28" s="984">
        <f t="shared" si="10"/>
        <v>138.45219455363076</v>
      </c>
      <c r="R28" s="984">
        <f t="shared" si="11"/>
        <v>35</v>
      </c>
      <c r="S28" s="985">
        <f t="shared" si="4"/>
        <v>3252.2087354769428</v>
      </c>
      <c r="T28" s="974"/>
      <c r="U28" s="975"/>
      <c r="V28" s="985">
        <f t="shared" si="12"/>
        <v>271</v>
      </c>
    </row>
    <row r="29" spans="1:22">
      <c r="A29" s="976">
        <v>23</v>
      </c>
      <c r="B29" s="977" t="s">
        <v>199</v>
      </c>
      <c r="C29" s="978">
        <f>'[12]Summary by Parish'!E29</f>
        <v>7.0398649999999998</v>
      </c>
      <c r="D29" s="979">
        <f>'Table 3 Levels 1&amp;2'!AP30</f>
        <v>5517.8897356380503</v>
      </c>
      <c r="E29" s="979">
        <f t="shared" si="1"/>
        <v>7263.6627593427438</v>
      </c>
      <c r="F29" s="979">
        <f t="shared" si="5"/>
        <v>8734.0101512049387</v>
      </c>
      <c r="G29" s="980">
        <f t="shared" si="6"/>
        <v>61486.252373112351</v>
      </c>
      <c r="H29" s="980">
        <f>5124*8</f>
        <v>40992</v>
      </c>
      <c r="I29" s="981">
        <f t="shared" si="7"/>
        <v>20494.252373112351</v>
      </c>
      <c r="J29" s="980">
        <f t="shared" si="8"/>
        <v>5124</v>
      </c>
      <c r="K29" s="969">
        <f>'Table 3 Levels 1&amp;2'!AS30</f>
        <v>40420758</v>
      </c>
      <c r="L29" s="982">
        <f>'Table 3 Levels 1&amp;2'!C30</f>
        <v>13151</v>
      </c>
      <c r="M29" s="982">
        <f t="shared" si="2"/>
        <v>13158.039865000001</v>
      </c>
      <c r="N29" s="983">
        <f t="shared" si="9"/>
        <v>3071.9437252594157</v>
      </c>
      <c r="O29" s="984">
        <f t="shared" si="3"/>
        <v>21626.069113423375</v>
      </c>
      <c r="P29" s="984">
        <f>1802*8</f>
        <v>14416</v>
      </c>
      <c r="Q29" s="984">
        <f t="shared" si="10"/>
        <v>7210.0691134233748</v>
      </c>
      <c r="R29" s="984">
        <f t="shared" si="11"/>
        <v>1803</v>
      </c>
      <c r="S29" s="985">
        <f t="shared" si="4"/>
        <v>83112.321486535729</v>
      </c>
      <c r="T29" s="974"/>
      <c r="U29" s="975"/>
      <c r="V29" s="985">
        <f t="shared" si="12"/>
        <v>6927</v>
      </c>
    </row>
    <row r="30" spans="1:22">
      <c r="A30" s="976">
        <v>24</v>
      </c>
      <c r="B30" s="977" t="s">
        <v>200</v>
      </c>
      <c r="C30" s="978">
        <f>'[12]Summary by Parish'!E30</f>
        <v>4.9623140000000001</v>
      </c>
      <c r="D30" s="979">
        <f>'Table 3 Levels 1&amp;2'!AP31</f>
        <v>3348.8081940947586</v>
      </c>
      <c r="E30" s="979">
        <f t="shared" si="1"/>
        <v>4408.3181312094848</v>
      </c>
      <c r="F30" s="979">
        <f t="shared" si="5"/>
        <v>5878.6655230716797</v>
      </c>
      <c r="G30" s="980">
        <f t="shared" si="6"/>
        <v>29171.784226455919</v>
      </c>
      <c r="H30" s="980">
        <f>2431*8</f>
        <v>19448</v>
      </c>
      <c r="I30" s="981">
        <f t="shared" si="7"/>
        <v>9723.7842264559185</v>
      </c>
      <c r="J30" s="980">
        <f t="shared" si="8"/>
        <v>2431</v>
      </c>
      <c r="K30" s="969">
        <f>'Table 3 Levels 1&amp;2'!AS31</f>
        <v>24595665.399999999</v>
      </c>
      <c r="L30" s="982">
        <f>'Table 3 Levels 1&amp;2'!C31</f>
        <v>4369</v>
      </c>
      <c r="M30" s="982">
        <f t="shared" si="2"/>
        <v>4373.9623140000003</v>
      </c>
      <c r="N30" s="983">
        <f t="shared" si="9"/>
        <v>5623.20011795145</v>
      </c>
      <c r="O30" s="984">
        <f t="shared" si="3"/>
        <v>27904.084670112134</v>
      </c>
      <c r="P30" s="984">
        <f>2325*8</f>
        <v>18600</v>
      </c>
      <c r="Q30" s="984">
        <f t="shared" si="10"/>
        <v>9304.0846701121336</v>
      </c>
      <c r="R30" s="984">
        <f t="shared" si="11"/>
        <v>2326</v>
      </c>
      <c r="S30" s="985">
        <f t="shared" si="4"/>
        <v>57075.868896568049</v>
      </c>
      <c r="T30" s="974"/>
      <c r="U30" s="975"/>
      <c r="V30" s="985">
        <f t="shared" si="12"/>
        <v>4757</v>
      </c>
    </row>
    <row r="31" spans="1:22">
      <c r="A31" s="987">
        <v>25</v>
      </c>
      <c r="B31" s="988" t="s">
        <v>201</v>
      </c>
      <c r="C31" s="989">
        <f>'[12]Summary by Parish'!E31</f>
        <v>0</v>
      </c>
      <c r="D31" s="990">
        <f>'Table 3 Levels 1&amp;2'!AP32</f>
        <v>4321.0419844710177</v>
      </c>
      <c r="E31" s="990">
        <f t="shared" si="1"/>
        <v>5688.1513128912266</v>
      </c>
      <c r="F31" s="990">
        <f t="shared" si="5"/>
        <v>7158.4987047534214</v>
      </c>
      <c r="G31" s="991">
        <f t="shared" si="6"/>
        <v>0</v>
      </c>
      <c r="H31" s="991">
        <f>0*8</f>
        <v>0</v>
      </c>
      <c r="I31" s="992">
        <f t="shared" si="7"/>
        <v>0</v>
      </c>
      <c r="J31" s="991">
        <f t="shared" si="8"/>
        <v>0</v>
      </c>
      <c r="K31" s="993">
        <f>'Table 3 Levels 1&amp;2'!AS32</f>
        <v>9834890.5</v>
      </c>
      <c r="L31" s="994">
        <f>'Table 3 Levels 1&amp;2'!C32</f>
        <v>2191</v>
      </c>
      <c r="M31" s="994">
        <f t="shared" si="2"/>
        <v>2191</v>
      </c>
      <c r="N31" s="995">
        <f t="shared" si="9"/>
        <v>4488.7679141944318</v>
      </c>
      <c r="O31" s="996">
        <f t="shared" si="3"/>
        <v>0</v>
      </c>
      <c r="P31" s="996">
        <f>0*8</f>
        <v>0</v>
      </c>
      <c r="Q31" s="996">
        <f t="shared" si="10"/>
        <v>0</v>
      </c>
      <c r="R31" s="996">
        <f t="shared" si="11"/>
        <v>0</v>
      </c>
      <c r="S31" s="997">
        <f t="shared" si="4"/>
        <v>0</v>
      </c>
      <c r="T31" s="975"/>
      <c r="U31" s="975"/>
      <c r="V31" s="997">
        <f t="shared" si="12"/>
        <v>0</v>
      </c>
    </row>
    <row r="32" spans="1:22">
      <c r="A32" s="964">
        <v>26</v>
      </c>
      <c r="B32" s="965" t="s">
        <v>202</v>
      </c>
      <c r="C32" s="966">
        <f>'[12]Summary by Parish'!E32</f>
        <v>36.898733999999997</v>
      </c>
      <c r="D32" s="967">
        <f>'Table 3 Levels 1&amp;2'!AP33</f>
        <v>3987.1778963328434</v>
      </c>
      <c r="E32" s="967">
        <f t="shared" si="1"/>
        <v>5248.6579087319351</v>
      </c>
      <c r="F32" s="967">
        <f t="shared" si="5"/>
        <v>6719.0053005941299</v>
      </c>
      <c r="G32" s="968">
        <f t="shared" si="6"/>
        <v>247922.78933121281</v>
      </c>
      <c r="H32" s="968">
        <f>20660*8</f>
        <v>165280</v>
      </c>
      <c r="I32" s="999">
        <f t="shared" si="7"/>
        <v>82642.789331212814</v>
      </c>
      <c r="J32" s="968">
        <f t="shared" si="8"/>
        <v>20661</v>
      </c>
      <c r="K32" s="969">
        <f>'Table 3 Levels 1&amp;2'!AS33</f>
        <v>210486848.09999999</v>
      </c>
      <c r="L32" s="970">
        <f>'Table 3 Levels 1&amp;2'!C33</f>
        <v>43040</v>
      </c>
      <c r="M32" s="970">
        <f t="shared" si="2"/>
        <v>43076.898734000002</v>
      </c>
      <c r="N32" s="971">
        <f t="shared" si="9"/>
        <v>4886.3045921610328</v>
      </c>
      <c r="O32" s="972">
        <f t="shared" si="3"/>
        <v>180298.45338912841</v>
      </c>
      <c r="P32" s="972">
        <f>15025*8</f>
        <v>120200</v>
      </c>
      <c r="Q32" s="972">
        <f t="shared" si="10"/>
        <v>60098.453389128408</v>
      </c>
      <c r="R32" s="972">
        <f t="shared" si="11"/>
        <v>15025</v>
      </c>
      <c r="S32" s="973">
        <f t="shared" si="4"/>
        <v>428221.24272034119</v>
      </c>
      <c r="T32" s="974"/>
      <c r="U32" s="975"/>
      <c r="V32" s="973">
        <f t="shared" si="12"/>
        <v>35686</v>
      </c>
    </row>
    <row r="33" spans="1:22">
      <c r="A33" s="976">
        <v>27</v>
      </c>
      <c r="B33" s="977" t="s">
        <v>203</v>
      </c>
      <c r="C33" s="1001">
        <f>'[12]Summary by Parish'!E33</f>
        <v>0.32</v>
      </c>
      <c r="D33" s="1002">
        <f>'Table 3 Levels 1&amp;2'!AP34</f>
        <v>6408.0618888372919</v>
      </c>
      <c r="E33" s="1002">
        <f t="shared" si="1"/>
        <v>8435.4712999948533</v>
      </c>
      <c r="F33" s="1002">
        <f t="shared" si="5"/>
        <v>9905.8186918570482</v>
      </c>
      <c r="G33" s="1003">
        <f t="shared" si="6"/>
        <v>3169.8619813942555</v>
      </c>
      <c r="H33" s="1003">
        <f>264*8</f>
        <v>2112</v>
      </c>
      <c r="I33" s="1004">
        <f t="shared" si="7"/>
        <v>1057.8619813942555</v>
      </c>
      <c r="J33" s="1003">
        <f t="shared" si="8"/>
        <v>264</v>
      </c>
      <c r="K33" s="969">
        <f>'Table 3 Levels 1&amp;2'!AS34</f>
        <v>16316074</v>
      </c>
      <c r="L33" s="1005">
        <f>'Table 3 Levels 1&amp;2'!C34</f>
        <v>5599</v>
      </c>
      <c r="M33" s="1005">
        <f t="shared" si="2"/>
        <v>5599.32</v>
      </c>
      <c r="N33" s="983">
        <f t="shared" si="9"/>
        <v>2913.9384782437869</v>
      </c>
      <c r="O33" s="984">
        <f t="shared" si="3"/>
        <v>932.4603130380118</v>
      </c>
      <c r="P33" s="984">
        <f>78*8</f>
        <v>624</v>
      </c>
      <c r="Q33" s="984">
        <f t="shared" si="10"/>
        <v>308.4603130380118</v>
      </c>
      <c r="R33" s="984">
        <f t="shared" si="11"/>
        <v>77</v>
      </c>
      <c r="S33" s="985">
        <f t="shared" si="4"/>
        <v>4102.322294432267</v>
      </c>
      <c r="T33" s="1006"/>
      <c r="U33" s="1007"/>
      <c r="V33" s="985">
        <f t="shared" si="12"/>
        <v>341</v>
      </c>
    </row>
    <row r="34" spans="1:22">
      <c r="A34" s="976">
        <v>28</v>
      </c>
      <c r="B34" s="977" t="s">
        <v>204</v>
      </c>
      <c r="C34" s="1001">
        <f>'[12]Summary by Parish'!E34</f>
        <v>6.9549709999999996</v>
      </c>
      <c r="D34" s="1002">
        <f>'Table 3 Levels 1&amp;2'!AP35</f>
        <v>4061.7455153448141</v>
      </c>
      <c r="E34" s="1002">
        <f t="shared" si="1"/>
        <v>5346.8175427985407</v>
      </c>
      <c r="F34" s="1002">
        <f t="shared" si="5"/>
        <v>6817.1649346607355</v>
      </c>
      <c r="G34" s="1003">
        <f t="shared" si="6"/>
        <v>47413.184422782309</v>
      </c>
      <c r="H34" s="1003">
        <f>3951*8</f>
        <v>31608</v>
      </c>
      <c r="I34" s="1004">
        <f t="shared" si="7"/>
        <v>15805.184422782309</v>
      </c>
      <c r="J34" s="1003">
        <f t="shared" si="8"/>
        <v>3951</v>
      </c>
      <c r="K34" s="969">
        <f>'Table 3 Levels 1&amp;2'!AS35</f>
        <v>120990183.8</v>
      </c>
      <c r="L34" s="1005">
        <f>'Table 3 Levels 1&amp;2'!C35</f>
        <v>29511</v>
      </c>
      <c r="M34" s="1005">
        <f t="shared" si="2"/>
        <v>29517.954970999999</v>
      </c>
      <c r="N34" s="983">
        <f t="shared" si="9"/>
        <v>4098.8674154041892</v>
      </c>
      <c r="O34" s="984">
        <f t="shared" si="3"/>
        <v>28507.504006981086</v>
      </c>
      <c r="P34" s="984">
        <f>2376*8</f>
        <v>19008</v>
      </c>
      <c r="Q34" s="984">
        <f t="shared" si="10"/>
        <v>9499.5040069810857</v>
      </c>
      <c r="R34" s="984">
        <f t="shared" si="11"/>
        <v>2375</v>
      </c>
      <c r="S34" s="985">
        <f t="shared" si="4"/>
        <v>75920.688429763395</v>
      </c>
      <c r="T34" s="1006"/>
      <c r="U34" s="1007"/>
      <c r="V34" s="985">
        <f t="shared" si="12"/>
        <v>6326</v>
      </c>
    </row>
    <row r="35" spans="1:22">
      <c r="A35" s="976">
        <v>29</v>
      </c>
      <c r="B35" s="977" t="s">
        <v>205</v>
      </c>
      <c r="C35" s="1001">
        <f>'[12]Summary by Parish'!E35</f>
        <v>16.490998000000001</v>
      </c>
      <c r="D35" s="1002">
        <f>'Table 3 Levels 1&amp;2'!AP36</f>
        <v>4954.7661050166143</v>
      </c>
      <c r="E35" s="1002">
        <f t="shared" si="1"/>
        <v>6522.3757201631133</v>
      </c>
      <c r="F35" s="1002">
        <f t="shared" si="5"/>
        <v>7992.7231120253082</v>
      </c>
      <c r="G35" s="1003">
        <f t="shared" si="6"/>
        <v>131807.98085496316</v>
      </c>
      <c r="H35" s="1003">
        <f>10984*8</f>
        <v>87872</v>
      </c>
      <c r="I35" s="1004">
        <f t="shared" si="7"/>
        <v>43935.980854963156</v>
      </c>
      <c r="J35" s="1003">
        <f t="shared" si="8"/>
        <v>10984</v>
      </c>
      <c r="K35" s="969">
        <f>'Table 3 Levels 1&amp;2'!AS36</f>
        <v>46573246.100000001</v>
      </c>
      <c r="L35" s="1005">
        <f>'Table 3 Levels 1&amp;2'!C36</f>
        <v>13458</v>
      </c>
      <c r="M35" s="1005">
        <f t="shared" si="2"/>
        <v>13474.490997999999</v>
      </c>
      <c r="N35" s="983">
        <f t="shared" si="9"/>
        <v>3456.4011439773722</v>
      </c>
      <c r="O35" s="984">
        <f t="shared" si="3"/>
        <v>56999.504352528558</v>
      </c>
      <c r="P35" s="984">
        <f>4750*8</f>
        <v>38000</v>
      </c>
      <c r="Q35" s="984">
        <f t="shared" si="10"/>
        <v>18999.504352528558</v>
      </c>
      <c r="R35" s="984">
        <f t="shared" si="11"/>
        <v>4750</v>
      </c>
      <c r="S35" s="985">
        <f t="shared" si="4"/>
        <v>188807.48520749173</v>
      </c>
      <c r="T35" s="1006"/>
      <c r="U35" s="1007"/>
      <c r="V35" s="985">
        <f t="shared" si="12"/>
        <v>15734</v>
      </c>
    </row>
    <row r="36" spans="1:22">
      <c r="A36" s="987">
        <v>30</v>
      </c>
      <c r="B36" s="988" t="s">
        <v>206</v>
      </c>
      <c r="C36" s="1008">
        <f>'[12]Summary by Parish'!E36</f>
        <v>0</v>
      </c>
      <c r="D36" s="1009">
        <f>'Table 3 Levels 1&amp;2'!AP37</f>
        <v>6508.694177087541</v>
      </c>
      <c r="E36" s="1009">
        <f t="shared" si="1"/>
        <v>8567.942052324277</v>
      </c>
      <c r="F36" s="1009">
        <f t="shared" si="5"/>
        <v>10038.289444186472</v>
      </c>
      <c r="G36" s="1010">
        <f t="shared" si="6"/>
        <v>0</v>
      </c>
      <c r="H36" s="1010">
        <f>0*8</f>
        <v>0</v>
      </c>
      <c r="I36" s="1011">
        <f t="shared" si="7"/>
        <v>0</v>
      </c>
      <c r="J36" s="1010">
        <f t="shared" si="8"/>
        <v>0</v>
      </c>
      <c r="K36" s="993">
        <f>'Table 3 Levels 1&amp;2'!AS37</f>
        <v>7149123.2000000002</v>
      </c>
      <c r="L36" s="1012">
        <f>'Table 3 Levels 1&amp;2'!C37</f>
        <v>2440</v>
      </c>
      <c r="M36" s="1012">
        <f t="shared" si="2"/>
        <v>2440</v>
      </c>
      <c r="N36" s="995">
        <f t="shared" si="9"/>
        <v>2929.9685245901642</v>
      </c>
      <c r="O36" s="996">
        <f t="shared" si="3"/>
        <v>0</v>
      </c>
      <c r="P36" s="996">
        <f>0*8</f>
        <v>0</v>
      </c>
      <c r="Q36" s="996">
        <f t="shared" si="10"/>
        <v>0</v>
      </c>
      <c r="R36" s="996">
        <f t="shared" si="11"/>
        <v>0</v>
      </c>
      <c r="S36" s="997">
        <f t="shared" si="4"/>
        <v>0</v>
      </c>
      <c r="T36" s="1007"/>
      <c r="U36" s="1007"/>
      <c r="V36" s="997">
        <f t="shared" si="12"/>
        <v>0</v>
      </c>
    </row>
    <row r="37" spans="1:22">
      <c r="A37" s="964">
        <v>31</v>
      </c>
      <c r="B37" s="965" t="s">
        <v>207</v>
      </c>
      <c r="C37" s="1013">
        <f>'[12]Summary by Parish'!E37</f>
        <v>2.799042</v>
      </c>
      <c r="D37" s="1014">
        <f>'Table 3 Levels 1&amp;2'!AP38</f>
        <v>4853.7139370549612</v>
      </c>
      <c r="E37" s="1014">
        <f t="shared" si="1"/>
        <v>6389.3522448237627</v>
      </c>
      <c r="F37" s="1014">
        <f t="shared" si="5"/>
        <v>7859.6996366859576</v>
      </c>
      <c r="G37" s="1015">
        <f t="shared" si="6"/>
        <v>21999.629390468737</v>
      </c>
      <c r="H37" s="1015">
        <f>1833*8</f>
        <v>14664</v>
      </c>
      <c r="I37" s="1016">
        <f t="shared" si="7"/>
        <v>7335.6293904687373</v>
      </c>
      <c r="J37" s="1015">
        <f t="shared" si="8"/>
        <v>1834</v>
      </c>
      <c r="K37" s="969">
        <f>'Table 3 Levels 1&amp;2'!AS38</f>
        <v>24115814.199999999</v>
      </c>
      <c r="L37" s="1017">
        <f>'Table 3 Levels 1&amp;2'!C38</f>
        <v>6470</v>
      </c>
      <c r="M37" s="1017">
        <f t="shared" si="2"/>
        <v>6472.7990419999996</v>
      </c>
      <c r="N37" s="971">
        <f t="shared" si="9"/>
        <v>3725.7165012415662</v>
      </c>
      <c r="O37" s="972">
        <f t="shared" si="3"/>
        <v>10428.436967068195</v>
      </c>
      <c r="P37" s="972">
        <f>869*8</f>
        <v>6952</v>
      </c>
      <c r="Q37" s="972">
        <f t="shared" si="10"/>
        <v>3476.4369670681954</v>
      </c>
      <c r="R37" s="972">
        <f t="shared" si="11"/>
        <v>869</v>
      </c>
      <c r="S37" s="973">
        <f t="shared" si="4"/>
        <v>32428.066357536933</v>
      </c>
      <c r="T37" s="1006"/>
      <c r="U37" s="1007"/>
      <c r="V37" s="973">
        <f t="shared" si="12"/>
        <v>2703</v>
      </c>
    </row>
    <row r="38" spans="1:22">
      <c r="A38" s="976">
        <v>32</v>
      </c>
      <c r="B38" s="977" t="s">
        <v>208</v>
      </c>
      <c r="C38" s="1001">
        <f>'[12]Summary by Parish'!E38</f>
        <v>1.4741550000000001</v>
      </c>
      <c r="D38" s="1002">
        <f>'Table 3 Levels 1&amp;2'!AP39</f>
        <v>5979.8873583414552</v>
      </c>
      <c r="E38" s="1002">
        <f t="shared" si="1"/>
        <v>7871.8291214325372</v>
      </c>
      <c r="F38" s="1002">
        <f t="shared" si="5"/>
        <v>9342.176513294733</v>
      </c>
      <c r="G38" s="1003">
        <f t="shared" si="6"/>
        <v>13771.816217955999</v>
      </c>
      <c r="H38" s="1003">
        <f>1148*8</f>
        <v>9184</v>
      </c>
      <c r="I38" s="1004">
        <f t="shared" si="7"/>
        <v>4587.8162179559986</v>
      </c>
      <c r="J38" s="1003">
        <f t="shared" si="8"/>
        <v>1147</v>
      </c>
      <c r="K38" s="969">
        <f>'Table 3 Levels 1&amp;2'!AS39</f>
        <v>46068103.5</v>
      </c>
      <c r="L38" s="1005">
        <f>'Table 3 Levels 1&amp;2'!C39</f>
        <v>24050</v>
      </c>
      <c r="M38" s="1005">
        <f t="shared" si="2"/>
        <v>24051.474155</v>
      </c>
      <c r="N38" s="983">
        <f t="shared" si="9"/>
        <v>1915.3962540139362</v>
      </c>
      <c r="O38" s="984">
        <f t="shared" si="3"/>
        <v>2823.5909648359143</v>
      </c>
      <c r="P38" s="984">
        <f>235*8</f>
        <v>1880</v>
      </c>
      <c r="Q38" s="984">
        <f t="shared" si="10"/>
        <v>943.59096483591429</v>
      </c>
      <c r="R38" s="984">
        <f t="shared" si="11"/>
        <v>236</v>
      </c>
      <c r="S38" s="985">
        <f t="shared" si="4"/>
        <v>16595.407182791914</v>
      </c>
      <c r="T38" s="1006"/>
      <c r="U38" s="1007"/>
      <c r="V38" s="985">
        <f t="shared" si="12"/>
        <v>1383</v>
      </c>
    </row>
    <row r="39" spans="1:22">
      <c r="A39" s="976">
        <v>33</v>
      </c>
      <c r="B39" s="977" t="s">
        <v>209</v>
      </c>
      <c r="C39" s="1001">
        <f>'[12]Summary by Parish'!E39</f>
        <v>3.483276</v>
      </c>
      <c r="D39" s="1002">
        <f>'Table 3 Levels 1&amp;2'!AP40</f>
        <v>6378.2905185327509</v>
      </c>
      <c r="E39" s="1002">
        <f t="shared" si="1"/>
        <v>8396.280739085485</v>
      </c>
      <c r="F39" s="1002">
        <f t="shared" si="5"/>
        <v>9866.6281309476799</v>
      </c>
      <c r="G39" s="1003">
        <f t="shared" si="6"/>
        <v>34368.18896945491</v>
      </c>
      <c r="H39" s="1003">
        <f>2864*8</f>
        <v>22912</v>
      </c>
      <c r="I39" s="1004">
        <f t="shared" si="7"/>
        <v>11456.18896945491</v>
      </c>
      <c r="J39" s="1003">
        <f t="shared" si="8"/>
        <v>2864</v>
      </c>
      <c r="K39" s="969">
        <f>'Table 3 Levels 1&amp;2'!AS40</f>
        <v>6247975</v>
      </c>
      <c r="L39" s="1005">
        <f>'Table 3 Levels 1&amp;2'!C40</f>
        <v>1832</v>
      </c>
      <c r="M39" s="1005">
        <f t="shared" si="2"/>
        <v>1835.4832759999999</v>
      </c>
      <c r="N39" s="983">
        <f t="shared" si="9"/>
        <v>3403.9945128870791</v>
      </c>
      <c r="O39" s="984">
        <f t="shared" si="3"/>
        <v>11857.052390871253</v>
      </c>
      <c r="P39" s="984">
        <f>988*8</f>
        <v>7904</v>
      </c>
      <c r="Q39" s="984">
        <f t="shared" si="10"/>
        <v>3953.052390871253</v>
      </c>
      <c r="R39" s="984">
        <f t="shared" si="11"/>
        <v>988</v>
      </c>
      <c r="S39" s="985">
        <f t="shared" si="4"/>
        <v>46225.241360326167</v>
      </c>
      <c r="T39" s="1006"/>
      <c r="U39" s="1007"/>
      <c r="V39" s="985">
        <f t="shared" si="12"/>
        <v>3852</v>
      </c>
    </row>
    <row r="40" spans="1:22">
      <c r="A40" s="976">
        <v>34</v>
      </c>
      <c r="B40" s="977" t="s">
        <v>210</v>
      </c>
      <c r="C40" s="1001">
        <f>'[12]Summary by Parish'!E40</f>
        <v>0</v>
      </c>
      <c r="D40" s="1002">
        <f>'Table 3 Levels 1&amp;2'!AP41</f>
        <v>6408.8979331042383</v>
      </c>
      <c r="E40" s="1002">
        <f t="shared" si="1"/>
        <v>8436.571855442302</v>
      </c>
      <c r="F40" s="1002">
        <f t="shared" si="5"/>
        <v>9906.9192473044968</v>
      </c>
      <c r="G40" s="1003">
        <f t="shared" si="6"/>
        <v>0</v>
      </c>
      <c r="H40" s="1003">
        <f>0*8</f>
        <v>0</v>
      </c>
      <c r="I40" s="1004">
        <f t="shared" si="7"/>
        <v>0</v>
      </c>
      <c r="J40" s="1003">
        <f t="shared" si="8"/>
        <v>0</v>
      </c>
      <c r="K40" s="969">
        <f>'Table 3 Levels 1&amp;2'!AS41</f>
        <v>11732830</v>
      </c>
      <c r="L40" s="1005">
        <f>'Table 3 Levels 1&amp;2'!C41</f>
        <v>4365</v>
      </c>
      <c r="M40" s="1005">
        <f t="shared" si="2"/>
        <v>4365</v>
      </c>
      <c r="N40" s="983">
        <f t="shared" si="9"/>
        <v>2687.9335624284076</v>
      </c>
      <c r="O40" s="984">
        <f t="shared" si="3"/>
        <v>0</v>
      </c>
      <c r="P40" s="984">
        <f>0*8</f>
        <v>0</v>
      </c>
      <c r="Q40" s="984">
        <f t="shared" si="10"/>
        <v>0</v>
      </c>
      <c r="R40" s="984">
        <f t="shared" si="11"/>
        <v>0</v>
      </c>
      <c r="S40" s="985">
        <f t="shared" si="4"/>
        <v>0</v>
      </c>
      <c r="T40" s="1006"/>
      <c r="U40" s="1007"/>
      <c r="V40" s="985">
        <f t="shared" si="12"/>
        <v>0</v>
      </c>
    </row>
    <row r="41" spans="1:22">
      <c r="A41" s="987">
        <v>35</v>
      </c>
      <c r="B41" s="988" t="s">
        <v>211</v>
      </c>
      <c r="C41" s="1008">
        <f>'[12]Summary by Parish'!E41</f>
        <v>2.7474989999999999</v>
      </c>
      <c r="D41" s="1009">
        <f>'Table 3 Levels 1&amp;2'!AP42</f>
        <v>5502.5460214650511</v>
      </c>
      <c r="E41" s="1009">
        <f t="shared" si="1"/>
        <v>7243.4645367308294</v>
      </c>
      <c r="F41" s="1009">
        <f t="shared" si="5"/>
        <v>8713.8119285930243</v>
      </c>
      <c r="G41" s="1010">
        <f t="shared" si="6"/>
        <v>23941.189559997405</v>
      </c>
      <c r="H41" s="1010">
        <f>1995*8</f>
        <v>15960</v>
      </c>
      <c r="I41" s="1011">
        <f t="shared" si="7"/>
        <v>7981.189559997405</v>
      </c>
      <c r="J41" s="1010">
        <f t="shared" si="8"/>
        <v>1995</v>
      </c>
      <c r="K41" s="993">
        <f>'Table 3 Levels 1&amp;2'!AS42</f>
        <v>17876173.5</v>
      </c>
      <c r="L41" s="1012">
        <f>'Table 3 Levels 1&amp;2'!C42</f>
        <v>6438</v>
      </c>
      <c r="M41" s="1012">
        <f t="shared" si="2"/>
        <v>6440.7474990000001</v>
      </c>
      <c r="N41" s="995">
        <f t="shared" si="9"/>
        <v>2775.4811848741906</v>
      </c>
      <c r="O41" s="996">
        <f t="shared" si="3"/>
        <v>7625.6317799606531</v>
      </c>
      <c r="P41" s="996">
        <f>635*8</f>
        <v>5080</v>
      </c>
      <c r="Q41" s="996">
        <f t="shared" si="10"/>
        <v>2545.6317799606531</v>
      </c>
      <c r="R41" s="996">
        <f t="shared" si="11"/>
        <v>636</v>
      </c>
      <c r="S41" s="997">
        <f t="shared" si="4"/>
        <v>31566.821339958056</v>
      </c>
      <c r="T41" s="1007"/>
      <c r="U41" s="1007"/>
      <c r="V41" s="997">
        <f t="shared" si="12"/>
        <v>2631</v>
      </c>
    </row>
    <row r="42" spans="1:22">
      <c r="A42" s="964">
        <v>36</v>
      </c>
      <c r="B42" s="965" t="s">
        <v>74</v>
      </c>
      <c r="C42" s="1013">
        <f>'[12]Summary by Parish'!E42</f>
        <v>35.017254999999999</v>
      </c>
      <c r="D42" s="1014">
        <f>'Table 3 Levels 1&amp;2'!AP43</f>
        <v>3989.4838315244083</v>
      </c>
      <c r="E42" s="1014">
        <f t="shared" si="1"/>
        <v>5251.69340534004</v>
      </c>
      <c r="F42" s="1014">
        <f t="shared" si="5"/>
        <v>6722.0407972022349</v>
      </c>
      <c r="G42" s="1015">
        <f t="shared" si="6"/>
        <v>235387.41671603394</v>
      </c>
      <c r="H42" s="1015">
        <f>19616*8</f>
        <v>156928</v>
      </c>
      <c r="I42" s="1016">
        <f t="shared" si="7"/>
        <v>78459.416716033942</v>
      </c>
      <c r="J42" s="1015">
        <f t="shared" si="8"/>
        <v>19615</v>
      </c>
      <c r="K42" s="969">
        <f>'Table 3 Levels 1&amp;2'!AS43</f>
        <v>167338947.30000001</v>
      </c>
      <c r="L42" s="1017">
        <f>'Table 3 Levels 1&amp;2'!C43</f>
        <v>37409</v>
      </c>
      <c r="M42" s="1017">
        <f t="shared" si="2"/>
        <v>37444.017254999999</v>
      </c>
      <c r="N42" s="971">
        <f t="shared" si="9"/>
        <v>4469.0436434849898</v>
      </c>
      <c r="O42" s="972">
        <f t="shared" si="3"/>
        <v>156493.64087004296</v>
      </c>
      <c r="P42" s="972">
        <f>13041*8</f>
        <v>104328</v>
      </c>
      <c r="Q42" s="972">
        <f t="shared" si="10"/>
        <v>52165.64087004296</v>
      </c>
      <c r="R42" s="972">
        <f t="shared" si="11"/>
        <v>13041</v>
      </c>
      <c r="S42" s="973">
        <f t="shared" si="4"/>
        <v>391881.0575860769</v>
      </c>
      <c r="T42" s="1006"/>
      <c r="U42" s="1007"/>
      <c r="V42" s="973">
        <f t="shared" si="12"/>
        <v>32656</v>
      </c>
    </row>
    <row r="43" spans="1:22">
      <c r="A43" s="976">
        <v>37</v>
      </c>
      <c r="B43" s="977" t="s">
        <v>213</v>
      </c>
      <c r="C43" s="1001">
        <f>'[12]Summary by Parish'!E43</f>
        <v>2.651176</v>
      </c>
      <c r="D43" s="1002">
        <f>'Table 3 Levels 1&amp;2'!AP44</f>
        <v>6125.6994007439671</v>
      </c>
      <c r="E43" s="1002">
        <f t="shared" si="1"/>
        <v>8063.7737874200247</v>
      </c>
      <c r="F43" s="1002">
        <f t="shared" si="5"/>
        <v>9534.1211792822196</v>
      </c>
      <c r="G43" s="1003">
        <f t="shared" si="6"/>
        <v>25276.633251604719</v>
      </c>
      <c r="H43" s="1003">
        <f>2106*8</f>
        <v>16848</v>
      </c>
      <c r="I43" s="1004">
        <f t="shared" si="7"/>
        <v>8428.6332516047187</v>
      </c>
      <c r="J43" s="1003">
        <f t="shared" si="8"/>
        <v>2107</v>
      </c>
      <c r="K43" s="969">
        <f>'Table 3 Levels 1&amp;2'!AS44</f>
        <v>53957290.299999997</v>
      </c>
      <c r="L43" s="1005">
        <f>'Table 3 Levels 1&amp;2'!C44</f>
        <v>19053</v>
      </c>
      <c r="M43" s="1005">
        <f t="shared" si="2"/>
        <v>19055.651175999999</v>
      </c>
      <c r="N43" s="983">
        <f t="shared" si="9"/>
        <v>2831.5637078809214</v>
      </c>
      <c r="O43" s="984">
        <f t="shared" si="3"/>
        <v>7506.9737448049091</v>
      </c>
      <c r="P43" s="984">
        <f>626*8</f>
        <v>5008</v>
      </c>
      <c r="Q43" s="984">
        <f t="shared" si="10"/>
        <v>2498.9737448049091</v>
      </c>
      <c r="R43" s="984">
        <f t="shared" si="11"/>
        <v>625</v>
      </c>
      <c r="S43" s="985">
        <f t="shared" si="4"/>
        <v>32783.606996409624</v>
      </c>
      <c r="T43" s="1006"/>
      <c r="U43" s="1007"/>
      <c r="V43" s="985">
        <f t="shared" si="12"/>
        <v>2732</v>
      </c>
    </row>
    <row r="44" spans="1:22">
      <c r="A44" s="976">
        <v>38</v>
      </c>
      <c r="B44" s="977" t="s">
        <v>214</v>
      </c>
      <c r="C44" s="1001">
        <f>'[12]Summary by Parish'!E44</f>
        <v>0</v>
      </c>
      <c r="D44" s="1002">
        <f>'Table 3 Levels 1&amp;2'!AP45</f>
        <v>3226.4783395922746</v>
      </c>
      <c r="E44" s="1002">
        <f t="shared" si="1"/>
        <v>4247.2850459039546</v>
      </c>
      <c r="F44" s="1002">
        <f t="shared" si="5"/>
        <v>5717.6324377661495</v>
      </c>
      <c r="G44" s="1003">
        <f t="shared" si="6"/>
        <v>0</v>
      </c>
      <c r="H44" s="1003">
        <f>0*8</f>
        <v>0</v>
      </c>
      <c r="I44" s="1004">
        <f t="shared" si="7"/>
        <v>0</v>
      </c>
      <c r="J44" s="1003">
        <f t="shared" si="8"/>
        <v>0</v>
      </c>
      <c r="K44" s="969">
        <f>'Table 3 Levels 1&amp;2'!AS45</f>
        <v>22753559.25</v>
      </c>
      <c r="L44" s="1005">
        <f>'Table 3 Levels 1&amp;2'!C45</f>
        <v>3728</v>
      </c>
      <c r="M44" s="1005">
        <f t="shared" si="2"/>
        <v>3728</v>
      </c>
      <c r="N44" s="983">
        <f t="shared" si="9"/>
        <v>6103.422545600858</v>
      </c>
      <c r="O44" s="984">
        <f t="shared" si="3"/>
        <v>0</v>
      </c>
      <c r="P44" s="984">
        <f>0*8</f>
        <v>0</v>
      </c>
      <c r="Q44" s="984">
        <f t="shared" si="10"/>
        <v>0</v>
      </c>
      <c r="R44" s="984">
        <f t="shared" si="11"/>
        <v>0</v>
      </c>
      <c r="S44" s="985">
        <f t="shared" si="4"/>
        <v>0</v>
      </c>
      <c r="T44" s="1006"/>
      <c r="U44" s="1007"/>
      <c r="V44" s="985">
        <f t="shared" si="12"/>
        <v>0</v>
      </c>
    </row>
    <row r="45" spans="1:22">
      <c r="A45" s="976">
        <v>39</v>
      </c>
      <c r="B45" s="977" t="s">
        <v>76</v>
      </c>
      <c r="C45" s="1001">
        <f>'[12]Summary by Parish'!E45</f>
        <v>0.91922000000000004</v>
      </c>
      <c r="D45" s="1002">
        <f>'Table 3 Levels 1&amp;2'!AP46</f>
        <v>4408.5493072887675</v>
      </c>
      <c r="E45" s="1002">
        <f t="shared" si="1"/>
        <v>5803.3445683518803</v>
      </c>
      <c r="F45" s="1002">
        <f t="shared" si="5"/>
        <v>7273.6919602140752</v>
      </c>
      <c r="G45" s="1003">
        <f t="shared" si="6"/>
        <v>6686.1231236679823</v>
      </c>
      <c r="H45" s="1003">
        <f>557*8</f>
        <v>4456</v>
      </c>
      <c r="I45" s="1004">
        <f t="shared" si="7"/>
        <v>2230.1231236679823</v>
      </c>
      <c r="J45" s="1003">
        <f t="shared" si="8"/>
        <v>558</v>
      </c>
      <c r="K45" s="969">
        <f>'Table 3 Levels 1&amp;2'!AS46</f>
        <v>12092907</v>
      </c>
      <c r="L45" s="1005">
        <f>'Table 3 Levels 1&amp;2'!C46</f>
        <v>2817</v>
      </c>
      <c r="M45" s="1005">
        <f t="shared" si="2"/>
        <v>2817.9192200000002</v>
      </c>
      <c r="N45" s="983">
        <f t="shared" si="9"/>
        <v>4291.4313917061108</v>
      </c>
      <c r="O45" s="984">
        <f t="shared" si="3"/>
        <v>3944.7695638840914</v>
      </c>
      <c r="P45" s="984">
        <f>329*8</f>
        <v>2632</v>
      </c>
      <c r="Q45" s="984">
        <f t="shared" si="10"/>
        <v>1312.7695638840914</v>
      </c>
      <c r="R45" s="984">
        <f t="shared" si="11"/>
        <v>328</v>
      </c>
      <c r="S45" s="985">
        <f t="shared" si="4"/>
        <v>10630.892687552074</v>
      </c>
      <c r="T45" s="1006"/>
      <c r="U45" s="1007"/>
      <c r="V45" s="985">
        <f t="shared" si="12"/>
        <v>886</v>
      </c>
    </row>
    <row r="46" spans="1:22">
      <c r="A46" s="987">
        <v>40</v>
      </c>
      <c r="B46" s="988" t="s">
        <v>215</v>
      </c>
      <c r="C46" s="1008">
        <f>'[12]Summary by Parish'!E46</f>
        <v>4.936909</v>
      </c>
      <c r="D46" s="1009">
        <f>'Table 3 Levels 1&amp;2'!AP47</f>
        <v>5499.0384353350319</v>
      </c>
      <c r="E46" s="1009">
        <f t="shared" si="1"/>
        <v>7238.8472058365105</v>
      </c>
      <c r="F46" s="1009">
        <f t="shared" si="5"/>
        <v>8709.1945976987045</v>
      </c>
      <c r="G46" s="1010">
        <f t="shared" si="6"/>
        <v>42996.501192130112</v>
      </c>
      <c r="H46" s="1010">
        <f>3583*8</f>
        <v>28664</v>
      </c>
      <c r="I46" s="1011">
        <f t="shared" si="7"/>
        <v>14332.501192130112</v>
      </c>
      <c r="J46" s="1010">
        <f t="shared" si="8"/>
        <v>3583</v>
      </c>
      <c r="K46" s="993">
        <f>'Table 3 Levels 1&amp;2'!AS47</f>
        <v>64736027</v>
      </c>
      <c r="L46" s="1012">
        <f>'Table 3 Levels 1&amp;2'!C47</f>
        <v>22762</v>
      </c>
      <c r="M46" s="1012">
        <f t="shared" si="2"/>
        <v>22766.936909</v>
      </c>
      <c r="N46" s="995">
        <f t="shared" si="9"/>
        <v>2843.422778336474</v>
      </c>
      <c r="O46" s="996">
        <f t="shared" si="3"/>
        <v>14037.719505174344</v>
      </c>
      <c r="P46" s="996">
        <f>1170*8</f>
        <v>9360</v>
      </c>
      <c r="Q46" s="996">
        <f t="shared" si="10"/>
        <v>4677.7195051743438</v>
      </c>
      <c r="R46" s="996">
        <f t="shared" si="11"/>
        <v>1169</v>
      </c>
      <c r="S46" s="997">
        <f t="shared" si="4"/>
        <v>57034.220697304452</v>
      </c>
      <c r="T46" s="1007"/>
      <c r="U46" s="1007"/>
      <c r="V46" s="997">
        <f t="shared" si="12"/>
        <v>4752</v>
      </c>
    </row>
    <row r="47" spans="1:22">
      <c r="A47" s="964">
        <v>41</v>
      </c>
      <c r="B47" s="965" t="s">
        <v>216</v>
      </c>
      <c r="C47" s="1013">
        <f>'[12]Summary by Parish'!E47</f>
        <v>1.158774</v>
      </c>
      <c r="D47" s="1014">
        <f>'Table 3 Levels 1&amp;2'!AP48</f>
        <v>3134.0146443514645</v>
      </c>
      <c r="E47" s="1014">
        <f t="shared" si="1"/>
        <v>4125.5673001914756</v>
      </c>
      <c r="F47" s="1014">
        <f t="shared" si="5"/>
        <v>5595.9146920536705</v>
      </c>
      <c r="G47" s="1015">
        <f t="shared" si="6"/>
        <v>6484.4004513698001</v>
      </c>
      <c r="H47" s="1015">
        <f>540*8</f>
        <v>4320</v>
      </c>
      <c r="I47" s="1016">
        <f t="shared" si="7"/>
        <v>2164.4004513698001</v>
      </c>
      <c r="J47" s="1015">
        <f t="shared" si="8"/>
        <v>541</v>
      </c>
      <c r="K47" s="969">
        <f>'Table 3 Levels 1&amp;2'!AS48</f>
        <v>8306092.7999999998</v>
      </c>
      <c r="L47" s="1017">
        <f>'Table 3 Levels 1&amp;2'!C48</f>
        <v>1434</v>
      </c>
      <c r="M47" s="1017">
        <f t="shared" si="2"/>
        <v>1435.158774</v>
      </c>
      <c r="N47" s="971">
        <f t="shared" si="9"/>
        <v>5787.5776189206508</v>
      </c>
      <c r="O47" s="972">
        <f t="shared" si="3"/>
        <v>6706.4944677871581</v>
      </c>
      <c r="P47" s="972">
        <f>559*8</f>
        <v>4472</v>
      </c>
      <c r="Q47" s="972">
        <f t="shared" si="10"/>
        <v>2234.4944677871581</v>
      </c>
      <c r="R47" s="972">
        <f t="shared" si="11"/>
        <v>559</v>
      </c>
      <c r="S47" s="973">
        <f t="shared" si="4"/>
        <v>13190.894919156959</v>
      </c>
      <c r="T47" s="1006"/>
      <c r="U47" s="1007"/>
      <c r="V47" s="973">
        <f t="shared" si="12"/>
        <v>1100</v>
      </c>
    </row>
    <row r="48" spans="1:22">
      <c r="A48" s="976">
        <v>42</v>
      </c>
      <c r="B48" s="977" t="s">
        <v>217</v>
      </c>
      <c r="C48" s="1001">
        <f>'[12]Summary by Parish'!E48</f>
        <v>5.8471970000000004</v>
      </c>
      <c r="D48" s="1002">
        <f>'Table 3 Levels 1&amp;2'!AP49</f>
        <v>6035.3655216164952</v>
      </c>
      <c r="E48" s="1002">
        <f t="shared" si="1"/>
        <v>7944.8596979471376</v>
      </c>
      <c r="F48" s="1002">
        <f t="shared" si="5"/>
        <v>9415.2070898093334</v>
      </c>
      <c r="G48" s="1003">
        <f t="shared" si="6"/>
        <v>55052.570649911868</v>
      </c>
      <c r="H48" s="1003">
        <f>4588*8</f>
        <v>36704</v>
      </c>
      <c r="I48" s="1004">
        <f t="shared" si="7"/>
        <v>18348.570649911868</v>
      </c>
      <c r="J48" s="1003">
        <f t="shared" si="8"/>
        <v>4587</v>
      </c>
      <c r="K48" s="969">
        <f>'Table 3 Levels 1&amp;2'!AS49</f>
        <v>11486623.699999999</v>
      </c>
      <c r="L48" s="1005">
        <f>'Table 3 Levels 1&amp;2'!C49</f>
        <v>3298</v>
      </c>
      <c r="M48" s="1005">
        <f t="shared" si="2"/>
        <v>3303.8471970000001</v>
      </c>
      <c r="N48" s="983">
        <f t="shared" si="9"/>
        <v>3476.7418149453838</v>
      </c>
      <c r="O48" s="984">
        <f t="shared" si="3"/>
        <v>20329.194310123206</v>
      </c>
      <c r="P48" s="984">
        <f>1694*8</f>
        <v>13552</v>
      </c>
      <c r="Q48" s="984">
        <f t="shared" si="10"/>
        <v>6777.1943101232064</v>
      </c>
      <c r="R48" s="984">
        <f t="shared" si="11"/>
        <v>1694</v>
      </c>
      <c r="S48" s="985">
        <f t="shared" si="4"/>
        <v>75381.764960035071</v>
      </c>
      <c r="T48" s="1006"/>
      <c r="U48" s="1007"/>
      <c r="V48" s="985">
        <f t="shared" si="12"/>
        <v>6281</v>
      </c>
    </row>
    <row r="49" spans="1:22">
      <c r="A49" s="976">
        <v>43</v>
      </c>
      <c r="B49" s="977" t="s">
        <v>218</v>
      </c>
      <c r="C49" s="1001">
        <f>'[12]Summary by Parish'!E49</f>
        <v>3.0531359999999999</v>
      </c>
      <c r="D49" s="1002">
        <f>'Table 3 Levels 1&amp;2'!AP50</f>
        <v>6537.1921180240142</v>
      </c>
      <c r="E49" s="1002">
        <f t="shared" si="1"/>
        <v>8605.4562909581655</v>
      </c>
      <c r="F49" s="1002">
        <f t="shared" si="5"/>
        <v>10075.80368282036</v>
      </c>
      <c r="G49" s="1003">
        <f t="shared" si="6"/>
        <v>30762.798952951423</v>
      </c>
      <c r="H49" s="1003">
        <f>2564*8</f>
        <v>20512</v>
      </c>
      <c r="I49" s="1004">
        <f t="shared" si="7"/>
        <v>10250.798952951423</v>
      </c>
      <c r="J49" s="1003">
        <f t="shared" si="8"/>
        <v>2563</v>
      </c>
      <c r="K49" s="969">
        <f>'Table 3 Levels 1&amp;2'!AS50</f>
        <v>12252243.1</v>
      </c>
      <c r="L49" s="1005">
        <f>'Table 3 Levels 1&amp;2'!C50</f>
        <v>3981</v>
      </c>
      <c r="M49" s="1005">
        <f t="shared" si="2"/>
        <v>3984.053136</v>
      </c>
      <c r="N49" s="983">
        <f t="shared" si="9"/>
        <v>3075.3212072621313</v>
      </c>
      <c r="O49" s="984">
        <f t="shared" si="3"/>
        <v>9389.3738894554735</v>
      </c>
      <c r="P49" s="984">
        <f>782*8</f>
        <v>6256</v>
      </c>
      <c r="Q49" s="984">
        <f t="shared" si="10"/>
        <v>3133.3738894554735</v>
      </c>
      <c r="R49" s="984">
        <f t="shared" si="11"/>
        <v>783</v>
      </c>
      <c r="S49" s="985">
        <f t="shared" si="4"/>
        <v>40152.172842406901</v>
      </c>
      <c r="T49" s="1006"/>
      <c r="U49" s="1007"/>
      <c r="V49" s="985">
        <f t="shared" si="12"/>
        <v>3346</v>
      </c>
    </row>
    <row r="50" spans="1:22">
      <c r="A50" s="976">
        <v>44</v>
      </c>
      <c r="B50" s="977" t="s">
        <v>219</v>
      </c>
      <c r="C50" s="1001">
        <f>'[12]Summary by Parish'!E50</f>
        <v>1.3972599999999999</v>
      </c>
      <c r="D50" s="1002">
        <f>'Table 3 Levels 1&amp;2'!AP51</f>
        <v>5020.4034205490716</v>
      </c>
      <c r="E50" s="1002">
        <f t="shared" si="1"/>
        <v>6608.7796439996255</v>
      </c>
      <c r="F50" s="1002">
        <f t="shared" si="5"/>
        <v>8079.1270358618203</v>
      </c>
      <c r="G50" s="1003">
        <f t="shared" si="6"/>
        <v>11288.641042128287</v>
      </c>
      <c r="H50" s="1003">
        <f>941*8</f>
        <v>7528</v>
      </c>
      <c r="I50" s="1004">
        <f t="shared" si="7"/>
        <v>3760.6410421282872</v>
      </c>
      <c r="J50" s="1003">
        <f t="shared" si="8"/>
        <v>940</v>
      </c>
      <c r="K50" s="969">
        <f>'Table 3 Levels 1&amp;2'!AS51</f>
        <v>20897426.399999999</v>
      </c>
      <c r="L50" s="1005">
        <f>'Table 3 Levels 1&amp;2'!C51</f>
        <v>5439</v>
      </c>
      <c r="M50" s="1005">
        <f t="shared" si="2"/>
        <v>5440.3972599999997</v>
      </c>
      <c r="N50" s="983">
        <f t="shared" si="9"/>
        <v>3841.1581730706184</v>
      </c>
      <c r="O50" s="984">
        <f t="shared" si="3"/>
        <v>5367.0966689046518</v>
      </c>
      <c r="P50" s="984">
        <f>447*8</f>
        <v>3576</v>
      </c>
      <c r="Q50" s="984">
        <f t="shared" si="10"/>
        <v>1791.0966689046518</v>
      </c>
      <c r="R50" s="984">
        <f t="shared" si="11"/>
        <v>448</v>
      </c>
      <c r="S50" s="985">
        <f t="shared" si="4"/>
        <v>16655.73771103294</v>
      </c>
      <c r="T50" s="1006"/>
      <c r="U50" s="1007"/>
      <c r="V50" s="985">
        <f t="shared" si="12"/>
        <v>1388</v>
      </c>
    </row>
    <row r="51" spans="1:22">
      <c r="A51" s="987">
        <v>45</v>
      </c>
      <c r="B51" s="988" t="s">
        <v>220</v>
      </c>
      <c r="C51" s="1008">
        <f>'[12]Summary by Parish'!E51</f>
        <v>1.9552989999999999</v>
      </c>
      <c r="D51" s="1009">
        <f>'Table 3 Levels 1&amp;2'!AP52</f>
        <v>3184.43934252386</v>
      </c>
      <c r="E51" s="1009">
        <f t="shared" si="1"/>
        <v>4191.9455751867763</v>
      </c>
      <c r="F51" s="1009">
        <f t="shared" si="5"/>
        <v>5662.2929670489711</v>
      </c>
      <c r="G51" s="1010">
        <f t="shared" si="6"/>
        <v>11071.475776177886</v>
      </c>
      <c r="H51" s="1010">
        <f>923*8</f>
        <v>7384</v>
      </c>
      <c r="I51" s="1011">
        <f t="shared" si="7"/>
        <v>3687.4757761778856</v>
      </c>
      <c r="J51" s="1010">
        <f t="shared" si="8"/>
        <v>922</v>
      </c>
      <c r="K51" s="993">
        <f>'Table 3 Levels 1&amp;2'!AS52</f>
        <v>47738425.899999999</v>
      </c>
      <c r="L51" s="1012">
        <f>'Table 3 Levels 1&amp;2'!C52</f>
        <v>9430</v>
      </c>
      <c r="M51" s="1012">
        <f t="shared" si="2"/>
        <v>9431.9552989999993</v>
      </c>
      <c r="N51" s="995">
        <f t="shared" si="9"/>
        <v>5061.3498884013325</v>
      </c>
      <c r="O51" s="996">
        <f t="shared" si="3"/>
        <v>9896.4523754412367</v>
      </c>
      <c r="P51" s="996">
        <f>825*8</f>
        <v>6600</v>
      </c>
      <c r="Q51" s="996">
        <f t="shared" si="10"/>
        <v>3296.4523754412367</v>
      </c>
      <c r="R51" s="996">
        <f t="shared" si="11"/>
        <v>824</v>
      </c>
      <c r="S51" s="997">
        <f t="shared" si="4"/>
        <v>20967.928151619122</v>
      </c>
      <c r="T51" s="1007"/>
      <c r="U51" s="1007"/>
      <c r="V51" s="997">
        <f t="shared" si="12"/>
        <v>1746</v>
      </c>
    </row>
    <row r="52" spans="1:22">
      <c r="A52" s="964">
        <v>46</v>
      </c>
      <c r="B52" s="965" t="s">
        <v>78</v>
      </c>
      <c r="C52" s="1013">
        <f>'[12]Summary by Parish'!E52</f>
        <v>0</v>
      </c>
      <c r="D52" s="1014">
        <f>'Table 3 Levels 1&amp;2'!AP53</f>
        <v>6530.1710099800539</v>
      </c>
      <c r="E52" s="1014">
        <f t="shared" si="1"/>
        <v>8596.213815397472</v>
      </c>
      <c r="F52" s="1014">
        <f t="shared" si="5"/>
        <v>10066.561207259667</v>
      </c>
      <c r="G52" s="1015">
        <f t="shared" si="6"/>
        <v>0</v>
      </c>
      <c r="H52" s="1015">
        <f>0*8</f>
        <v>0</v>
      </c>
      <c r="I52" s="1016">
        <f t="shared" si="7"/>
        <v>0</v>
      </c>
      <c r="J52" s="1015">
        <f t="shared" si="8"/>
        <v>0</v>
      </c>
      <c r="K52" s="969">
        <f>'Table 3 Levels 1&amp;2'!AS53</f>
        <v>1807793</v>
      </c>
      <c r="L52" s="1017">
        <f>'Table 3 Levels 1&amp;2'!C53</f>
        <v>1103</v>
      </c>
      <c r="M52" s="1017">
        <f t="shared" si="2"/>
        <v>1103</v>
      </c>
      <c r="N52" s="971">
        <f t="shared" si="9"/>
        <v>1638.9782411604715</v>
      </c>
      <c r="O52" s="972">
        <f t="shared" si="3"/>
        <v>0</v>
      </c>
      <c r="P52" s="972">
        <f>0*8</f>
        <v>0</v>
      </c>
      <c r="Q52" s="972">
        <f t="shared" si="10"/>
        <v>0</v>
      </c>
      <c r="R52" s="972">
        <f t="shared" si="11"/>
        <v>0</v>
      </c>
      <c r="S52" s="973">
        <f t="shared" si="4"/>
        <v>0</v>
      </c>
      <c r="T52" s="1006"/>
      <c r="U52" s="1007"/>
      <c r="V52" s="973">
        <f t="shared" si="12"/>
        <v>0</v>
      </c>
    </row>
    <row r="53" spans="1:22">
      <c r="A53" s="976">
        <v>47</v>
      </c>
      <c r="B53" s="977" t="s">
        <v>221</v>
      </c>
      <c r="C53" s="1001">
        <f>'[12]Summary by Parish'!E53</f>
        <v>0</v>
      </c>
      <c r="D53" s="1002">
        <f>'Table 3 Levels 1&amp;2'!AP54</f>
        <v>4353.1274708176534</v>
      </c>
      <c r="E53" s="1002">
        <f t="shared" si="1"/>
        <v>5730.3881395509225</v>
      </c>
      <c r="F53" s="1002">
        <f t="shared" si="5"/>
        <v>7200.7355314131173</v>
      </c>
      <c r="G53" s="1003">
        <f t="shared" si="6"/>
        <v>0</v>
      </c>
      <c r="H53" s="1015">
        <f>0*8</f>
        <v>0</v>
      </c>
      <c r="I53" s="1004">
        <f t="shared" si="7"/>
        <v>0</v>
      </c>
      <c r="J53" s="1003">
        <f t="shared" si="8"/>
        <v>0</v>
      </c>
      <c r="K53" s="969">
        <f>'Table 3 Levels 1&amp;2'!AS54</f>
        <v>18683555.399999999</v>
      </c>
      <c r="L53" s="1005">
        <f>'Table 3 Levels 1&amp;2'!C54</f>
        <v>3716</v>
      </c>
      <c r="M53" s="1005">
        <f t="shared" si="2"/>
        <v>3716</v>
      </c>
      <c r="N53" s="983">
        <f t="shared" si="9"/>
        <v>5027.8674381054898</v>
      </c>
      <c r="O53" s="984">
        <f t="shared" si="3"/>
        <v>0</v>
      </c>
      <c r="P53" s="972">
        <f>0*8</f>
        <v>0</v>
      </c>
      <c r="Q53" s="984">
        <f t="shared" si="10"/>
        <v>0</v>
      </c>
      <c r="R53" s="984">
        <f t="shared" si="11"/>
        <v>0</v>
      </c>
      <c r="S53" s="985">
        <f t="shared" si="4"/>
        <v>0</v>
      </c>
      <c r="T53" s="1006"/>
      <c r="U53" s="1007"/>
      <c r="V53" s="985">
        <f t="shared" si="12"/>
        <v>0</v>
      </c>
    </row>
    <row r="54" spans="1:22">
      <c r="A54" s="976">
        <v>48</v>
      </c>
      <c r="B54" s="977" t="s">
        <v>222</v>
      </c>
      <c r="C54" s="1001">
        <f>'[12]Summary by Parish'!E54</f>
        <v>1.2452920000000001</v>
      </c>
      <c r="D54" s="1002">
        <f>'Table 3 Levels 1&amp;2'!AP55</f>
        <v>4334.0373927650589</v>
      </c>
      <c r="E54" s="1002">
        <f t="shared" si="1"/>
        <v>5705.2582627924221</v>
      </c>
      <c r="F54" s="1002">
        <f t="shared" si="5"/>
        <v>7175.605654654617</v>
      </c>
      <c r="G54" s="1003">
        <f t="shared" si="6"/>
        <v>8935.7243168961577</v>
      </c>
      <c r="H54" s="1003">
        <f>745*8</f>
        <v>5960</v>
      </c>
      <c r="I54" s="1004">
        <f t="shared" si="7"/>
        <v>2975.7243168961577</v>
      </c>
      <c r="J54" s="1003">
        <f t="shared" si="8"/>
        <v>744</v>
      </c>
      <c r="K54" s="969">
        <f>'Table 3 Levels 1&amp;2'!AS55</f>
        <v>27733674.800000001</v>
      </c>
      <c r="L54" s="1005">
        <f>'Table 3 Levels 1&amp;2'!C55</f>
        <v>6033</v>
      </c>
      <c r="M54" s="1005">
        <f t="shared" si="2"/>
        <v>6034.2452919999996</v>
      </c>
      <c r="N54" s="983">
        <f t="shared" si="9"/>
        <v>4596.0469715688187</v>
      </c>
      <c r="O54" s="984">
        <f t="shared" si="3"/>
        <v>5723.4205253188775</v>
      </c>
      <c r="P54" s="984">
        <f>477*8</f>
        <v>3816</v>
      </c>
      <c r="Q54" s="984">
        <f t="shared" si="10"/>
        <v>1907.4205253188775</v>
      </c>
      <c r="R54" s="984">
        <f t="shared" si="11"/>
        <v>477</v>
      </c>
      <c r="S54" s="985">
        <f t="shared" si="4"/>
        <v>14659.144842215035</v>
      </c>
      <c r="T54" s="1006"/>
      <c r="U54" s="1007"/>
      <c r="V54" s="985">
        <f t="shared" si="12"/>
        <v>1221</v>
      </c>
    </row>
    <row r="55" spans="1:22">
      <c r="A55" s="976">
        <v>49</v>
      </c>
      <c r="B55" s="977" t="s">
        <v>223</v>
      </c>
      <c r="C55" s="1001">
        <f>'[12]Summary by Parish'!E55</f>
        <v>6.3351879999999996</v>
      </c>
      <c r="D55" s="1002">
        <f>'Table 3 Levels 1&amp;2'!AP56</f>
        <v>5444.2426305297113</v>
      </c>
      <c r="E55" s="1002">
        <f t="shared" si="1"/>
        <v>7166.714875217077</v>
      </c>
      <c r="F55" s="1002">
        <f t="shared" si="5"/>
        <v>8637.0622670792727</v>
      </c>
      <c r="G55" s="1003">
        <f t="shared" si="6"/>
        <v>54717.413229653401</v>
      </c>
      <c r="H55" s="1003">
        <f>4560*8</f>
        <v>36480</v>
      </c>
      <c r="I55" s="1004">
        <f t="shared" si="7"/>
        <v>18237.413229653401</v>
      </c>
      <c r="J55" s="1003">
        <f t="shared" si="8"/>
        <v>4559</v>
      </c>
      <c r="K55" s="969">
        <f>'Table 3 Levels 1&amp;2'!AS56</f>
        <v>30689119</v>
      </c>
      <c r="L55" s="1005">
        <f>'Table 3 Levels 1&amp;2'!C56</f>
        <v>13951</v>
      </c>
      <c r="M55" s="1005">
        <f t="shared" si="2"/>
        <v>13957.335187999999</v>
      </c>
      <c r="N55" s="983">
        <f t="shared" si="9"/>
        <v>2198.7806831769271</v>
      </c>
      <c r="O55" s="984">
        <f t="shared" si="3"/>
        <v>13929.68899869427</v>
      </c>
      <c r="P55" s="984">
        <f>1161*8</f>
        <v>9288</v>
      </c>
      <c r="Q55" s="984">
        <f t="shared" si="10"/>
        <v>4641.6889986942697</v>
      </c>
      <c r="R55" s="984">
        <f t="shared" si="11"/>
        <v>1160</v>
      </c>
      <c r="S55" s="985">
        <f t="shared" si="4"/>
        <v>68647.102228347678</v>
      </c>
      <c r="T55" s="1006"/>
      <c r="U55" s="1007"/>
      <c r="V55" s="985">
        <f t="shared" si="12"/>
        <v>5719</v>
      </c>
    </row>
    <row r="56" spans="1:22">
      <c r="A56" s="987">
        <v>50</v>
      </c>
      <c r="B56" s="988" t="s">
        <v>224</v>
      </c>
      <c r="C56" s="1008">
        <f>'[12]Summary by Parish'!E56</f>
        <v>6.0297140000000002</v>
      </c>
      <c r="D56" s="1009">
        <f>'Table 3 Levels 1&amp;2'!AP57</f>
        <v>5700.828280999137</v>
      </c>
      <c r="E56" s="1009">
        <f t="shared" si="1"/>
        <v>7504.480166512988</v>
      </c>
      <c r="F56" s="1009">
        <f t="shared" si="5"/>
        <v>8974.827558375182</v>
      </c>
      <c r="G56" s="1010">
        <f t="shared" si="6"/>
        <v>54115.643376320651</v>
      </c>
      <c r="H56" s="1010">
        <f>4510*8</f>
        <v>36080</v>
      </c>
      <c r="I56" s="1011">
        <f t="shared" si="7"/>
        <v>18035.643376320651</v>
      </c>
      <c r="J56" s="1010">
        <f t="shared" si="8"/>
        <v>4509</v>
      </c>
      <c r="K56" s="993">
        <f>'Table 3 Levels 1&amp;2'!AS57</f>
        <v>19088863.5</v>
      </c>
      <c r="L56" s="1012">
        <f>'Table 3 Levels 1&amp;2'!C57</f>
        <v>8111</v>
      </c>
      <c r="M56" s="1012">
        <f t="shared" si="2"/>
        <v>8117.0297140000002</v>
      </c>
      <c r="N56" s="995">
        <f t="shared" si="9"/>
        <v>2351.7055095999121</v>
      </c>
      <c r="O56" s="996">
        <f t="shared" si="3"/>
        <v>14180.111635111725</v>
      </c>
      <c r="P56" s="996">
        <f>1182*8</f>
        <v>9456</v>
      </c>
      <c r="Q56" s="996">
        <f t="shared" si="10"/>
        <v>4724.1116351117253</v>
      </c>
      <c r="R56" s="996">
        <f t="shared" si="11"/>
        <v>1181</v>
      </c>
      <c r="S56" s="997">
        <f t="shared" si="4"/>
        <v>68295.755011432382</v>
      </c>
      <c r="T56" s="1007"/>
      <c r="U56" s="1007"/>
      <c r="V56" s="997">
        <f t="shared" si="12"/>
        <v>5690</v>
      </c>
    </row>
    <row r="57" spans="1:22">
      <c r="A57" s="964">
        <v>51</v>
      </c>
      <c r="B57" s="965" t="s">
        <v>225</v>
      </c>
      <c r="C57" s="1013">
        <f>'[12]Summary by Parish'!E57</f>
        <v>3.476378</v>
      </c>
      <c r="D57" s="1014">
        <f>'Table 3 Levels 1&amp;2'!AP58</f>
        <v>5245.2365357250583</v>
      </c>
      <c r="E57" s="1014">
        <f t="shared" si="1"/>
        <v>6904.7464001352464</v>
      </c>
      <c r="F57" s="1014">
        <f t="shared" si="5"/>
        <v>8375.0937919974422</v>
      </c>
      <c r="G57" s="1015">
        <f t="shared" si="6"/>
        <v>29114.991806436483</v>
      </c>
      <c r="H57" s="1015">
        <f>2426*8</f>
        <v>19408</v>
      </c>
      <c r="I57" s="1016">
        <f t="shared" si="7"/>
        <v>9706.9918064364829</v>
      </c>
      <c r="J57" s="1015">
        <f t="shared" si="8"/>
        <v>2427</v>
      </c>
      <c r="K57" s="969">
        <f>'Table 3 Levels 1&amp;2'!AS58</f>
        <v>33485668</v>
      </c>
      <c r="L57" s="1017">
        <f>'Table 3 Levels 1&amp;2'!C58</f>
        <v>8991</v>
      </c>
      <c r="M57" s="1017">
        <f t="shared" si="2"/>
        <v>8994.4763779999994</v>
      </c>
      <c r="N57" s="971">
        <f t="shared" si="9"/>
        <v>3722.9146637045069</v>
      </c>
      <c r="O57" s="972">
        <f t="shared" si="3"/>
        <v>12942.258632779745</v>
      </c>
      <c r="P57" s="972">
        <f>1079*8</f>
        <v>8632</v>
      </c>
      <c r="Q57" s="972">
        <f t="shared" si="10"/>
        <v>4310.2586327797453</v>
      </c>
      <c r="R57" s="972">
        <f t="shared" si="11"/>
        <v>1078</v>
      </c>
      <c r="S57" s="973">
        <f t="shared" si="4"/>
        <v>42057.25043921623</v>
      </c>
      <c r="T57" s="1006"/>
      <c r="U57" s="1007"/>
      <c r="V57" s="973">
        <f t="shared" si="12"/>
        <v>3505</v>
      </c>
    </row>
    <row r="58" spans="1:22">
      <c r="A58" s="976">
        <v>52</v>
      </c>
      <c r="B58" s="977" t="s">
        <v>226</v>
      </c>
      <c r="C58" s="1001">
        <f>'[12]Summary by Parish'!E58</f>
        <v>11.890036</v>
      </c>
      <c r="D58" s="1002">
        <f>'Table 3 Levels 1&amp;2'!AP59</f>
        <v>5644.5603965778982</v>
      </c>
      <c r="E58" s="1002">
        <f t="shared" si="1"/>
        <v>7430.4100135742956</v>
      </c>
      <c r="F58" s="1002">
        <f t="shared" si="5"/>
        <v>8900.7574054364904</v>
      </c>
      <c r="G58" s="1003">
        <f t="shared" si="6"/>
        <v>105830.32597790647</v>
      </c>
      <c r="H58" s="1003">
        <f>8819*8</f>
        <v>70552</v>
      </c>
      <c r="I58" s="1004">
        <f t="shared" si="7"/>
        <v>35278.325977906468</v>
      </c>
      <c r="J58" s="1003">
        <f t="shared" si="8"/>
        <v>8820</v>
      </c>
      <c r="K58" s="969">
        <f>'Table 3 Levels 1&amp;2'!AS59</f>
        <v>127770102.7</v>
      </c>
      <c r="L58" s="1005">
        <f>'Table 3 Levels 1&amp;2'!C59</f>
        <v>36178</v>
      </c>
      <c r="M58" s="1005">
        <f t="shared" si="2"/>
        <v>36189.890035999997</v>
      </c>
      <c r="N58" s="983">
        <f>K58/M58</f>
        <v>3530.5468619247067</v>
      </c>
      <c r="O58" s="984">
        <f t="shared" si="3"/>
        <v>41978.329287971792</v>
      </c>
      <c r="P58" s="984">
        <f>3498*8</f>
        <v>27984</v>
      </c>
      <c r="Q58" s="984">
        <f t="shared" si="10"/>
        <v>13994.329287971792</v>
      </c>
      <c r="R58" s="984">
        <f t="shared" si="11"/>
        <v>3499</v>
      </c>
      <c r="S58" s="985">
        <f t="shared" si="4"/>
        <v>147808.65526587825</v>
      </c>
      <c r="T58" s="1006"/>
      <c r="U58" s="1007"/>
      <c r="V58" s="985">
        <f t="shared" si="12"/>
        <v>12319</v>
      </c>
    </row>
    <row r="59" spans="1:22">
      <c r="A59" s="976">
        <v>53</v>
      </c>
      <c r="B59" s="977" t="s">
        <v>227</v>
      </c>
      <c r="C59" s="1001">
        <f>'[12]Summary by Parish'!E59</f>
        <v>6.9142640000000002</v>
      </c>
      <c r="D59" s="1002">
        <f>'Table 3 Levels 1&amp;2'!AP60</f>
        <v>5435.0540965534992</v>
      </c>
      <c r="E59" s="1002">
        <f t="shared" si="1"/>
        <v>7154.6192344461315</v>
      </c>
      <c r="F59" s="1002">
        <f t="shared" si="5"/>
        <v>8624.9666263083272</v>
      </c>
      <c r="G59" s="1003">
        <f t="shared" si="6"/>
        <v>59635.296245485122</v>
      </c>
      <c r="H59" s="1003">
        <f>4970*8</f>
        <v>39760</v>
      </c>
      <c r="I59" s="1004">
        <f t="shared" si="7"/>
        <v>19875.296245485122</v>
      </c>
      <c r="J59" s="1003">
        <f t="shared" si="8"/>
        <v>4969</v>
      </c>
      <c r="K59" s="969">
        <f>'Table 3 Levels 1&amp;2'!AS60</f>
        <v>36348475.5</v>
      </c>
      <c r="L59" s="1005">
        <f>'Table 3 Levels 1&amp;2'!C60</f>
        <v>18645</v>
      </c>
      <c r="M59" s="1005">
        <f t="shared" si="2"/>
        <v>18651.914263999999</v>
      </c>
      <c r="N59" s="983">
        <f t="shared" si="9"/>
        <v>1948.7798938769561</v>
      </c>
      <c r="O59" s="984">
        <f t="shared" si="3"/>
        <v>13474.378664157259</v>
      </c>
      <c r="P59" s="984">
        <f>1123*8</f>
        <v>8984</v>
      </c>
      <c r="Q59" s="984">
        <f t="shared" si="10"/>
        <v>4490.3786641572588</v>
      </c>
      <c r="R59" s="984">
        <f t="shared" si="11"/>
        <v>1123</v>
      </c>
      <c r="S59" s="985">
        <f t="shared" si="4"/>
        <v>73109.674909642374</v>
      </c>
      <c r="T59" s="1006"/>
      <c r="U59" s="1007"/>
      <c r="V59" s="985">
        <f t="shared" si="12"/>
        <v>6092</v>
      </c>
    </row>
    <row r="60" spans="1:22">
      <c r="A60" s="976">
        <v>54</v>
      </c>
      <c r="B60" s="977" t="s">
        <v>228</v>
      </c>
      <c r="C60" s="1001">
        <f>'[12]Summary by Parish'!E60</f>
        <v>0.83989899999999995</v>
      </c>
      <c r="D60" s="1002">
        <f>'Table 3 Levels 1&amp;2'!AP61</f>
        <v>6605.7434775703705</v>
      </c>
      <c r="E60" s="1002">
        <f t="shared" si="1"/>
        <v>8695.6962162367017</v>
      </c>
      <c r="F60" s="1002">
        <f t="shared" si="5"/>
        <v>10166.043608098897</v>
      </c>
      <c r="G60" s="1003">
        <f t="shared" si="6"/>
        <v>8538.449860398654</v>
      </c>
      <c r="H60" s="1003">
        <f>712*8</f>
        <v>5696</v>
      </c>
      <c r="I60" s="1004">
        <f t="shared" si="7"/>
        <v>2842.449860398654</v>
      </c>
      <c r="J60" s="1003">
        <f t="shared" si="8"/>
        <v>711</v>
      </c>
      <c r="K60" s="969">
        <f>'Table 3 Levels 1&amp;2'!AS61</f>
        <v>2208019.5</v>
      </c>
      <c r="L60" s="1005">
        <f>'Table 3 Levels 1&amp;2'!C61</f>
        <v>675</v>
      </c>
      <c r="M60" s="1005">
        <f t="shared" si="2"/>
        <v>675.83989899999995</v>
      </c>
      <c r="N60" s="983">
        <f t="shared" si="9"/>
        <v>3267.0747957720091</v>
      </c>
      <c r="O60" s="984">
        <f t="shared" si="3"/>
        <v>2744.0128538941144</v>
      </c>
      <c r="P60" s="984">
        <f>229*8</f>
        <v>1832</v>
      </c>
      <c r="Q60" s="984">
        <f t="shared" si="10"/>
        <v>912.01285389411441</v>
      </c>
      <c r="R60" s="984">
        <f t="shared" si="11"/>
        <v>228</v>
      </c>
      <c r="S60" s="985">
        <f t="shared" si="4"/>
        <v>11282.462714292767</v>
      </c>
      <c r="T60" s="1006"/>
      <c r="U60" s="1007"/>
      <c r="V60" s="985">
        <f t="shared" si="12"/>
        <v>939</v>
      </c>
    </row>
    <row r="61" spans="1:22">
      <c r="A61" s="987">
        <v>55</v>
      </c>
      <c r="B61" s="988" t="s">
        <v>229</v>
      </c>
      <c r="C61" s="1008">
        <f>'[12]Summary by Parish'!E61</f>
        <v>9.2746729999999999</v>
      </c>
      <c r="D61" s="1009">
        <f>'Table 3 Levels 1&amp;2'!AP62</f>
        <v>4863.7489787044005</v>
      </c>
      <c r="E61" s="1009">
        <f t="shared" si="1"/>
        <v>6402.5622149046631</v>
      </c>
      <c r="F61" s="1009">
        <f t="shared" si="5"/>
        <v>7872.9096067668579</v>
      </c>
      <c r="G61" s="1010">
        <f t="shared" si="6"/>
        <v>73018.66216132119</v>
      </c>
      <c r="H61" s="1010">
        <f>6085*8</f>
        <v>48680</v>
      </c>
      <c r="I61" s="1011">
        <f t="shared" si="7"/>
        <v>24338.66216132119</v>
      </c>
      <c r="J61" s="1010">
        <f t="shared" si="8"/>
        <v>6085</v>
      </c>
      <c r="K61" s="993">
        <f>'Table 3 Levels 1&amp;2'!AS62</f>
        <v>50747935.5</v>
      </c>
      <c r="L61" s="1012">
        <f>'Table 3 Levels 1&amp;2'!C62</f>
        <v>17632</v>
      </c>
      <c r="M61" s="1012">
        <f t="shared" si="2"/>
        <v>17641.274673</v>
      </c>
      <c r="N61" s="995">
        <f t="shared" si="9"/>
        <v>2876.6592233649535</v>
      </c>
      <c r="O61" s="996">
        <f t="shared" si="3"/>
        <v>26680.073629143903</v>
      </c>
      <c r="P61" s="996">
        <f>2223*8</f>
        <v>17784</v>
      </c>
      <c r="Q61" s="996">
        <f t="shared" si="10"/>
        <v>8896.0736291439025</v>
      </c>
      <c r="R61" s="996">
        <f t="shared" si="11"/>
        <v>2224</v>
      </c>
      <c r="S61" s="997">
        <f t="shared" si="4"/>
        <v>99698.735790465085</v>
      </c>
      <c r="T61" s="1007"/>
      <c r="U61" s="1007"/>
      <c r="V61" s="997">
        <f t="shared" si="12"/>
        <v>8309</v>
      </c>
    </row>
    <row r="62" spans="1:22">
      <c r="A62" s="964">
        <v>56</v>
      </c>
      <c r="B62" s="965" t="s">
        <v>230</v>
      </c>
      <c r="C62" s="1013">
        <f>'[12]Summary by Parish'!E62</f>
        <v>0</v>
      </c>
      <c r="D62" s="1014">
        <f>'Table 3 Levels 1&amp;2'!AP63</f>
        <v>5714.320354489897</v>
      </c>
      <c r="E62" s="1014">
        <f t="shared" si="1"/>
        <v>7522.240918622294</v>
      </c>
      <c r="F62" s="1014">
        <f t="shared" si="5"/>
        <v>8992.5883104844888</v>
      </c>
      <c r="G62" s="1015">
        <f t="shared" si="6"/>
        <v>0</v>
      </c>
      <c r="H62" s="1015">
        <f>0*8</f>
        <v>0</v>
      </c>
      <c r="I62" s="1016">
        <f t="shared" si="7"/>
        <v>0</v>
      </c>
      <c r="J62" s="1015">
        <f t="shared" si="8"/>
        <v>0</v>
      </c>
      <c r="K62" s="969">
        <f>'Table 3 Levels 1&amp;2'!AS63</f>
        <v>8841303</v>
      </c>
      <c r="L62" s="1017">
        <f>'Table 3 Levels 1&amp;2'!C63</f>
        <v>2821</v>
      </c>
      <c r="M62" s="1017">
        <f t="shared" si="2"/>
        <v>2821</v>
      </c>
      <c r="N62" s="971">
        <f t="shared" si="9"/>
        <v>3134.1024459411556</v>
      </c>
      <c r="O62" s="972">
        <f t="shared" si="3"/>
        <v>0</v>
      </c>
      <c r="P62" s="972">
        <f>0*8</f>
        <v>0</v>
      </c>
      <c r="Q62" s="972">
        <f t="shared" si="10"/>
        <v>0</v>
      </c>
      <c r="R62" s="972">
        <f t="shared" si="11"/>
        <v>0</v>
      </c>
      <c r="S62" s="973">
        <f t="shared" si="4"/>
        <v>0</v>
      </c>
      <c r="T62" s="1006"/>
      <c r="U62" s="1007"/>
      <c r="V62" s="973">
        <f t="shared" si="12"/>
        <v>0</v>
      </c>
    </row>
    <row r="63" spans="1:22">
      <c r="A63" s="976">
        <v>57</v>
      </c>
      <c r="B63" s="977" t="s">
        <v>231</v>
      </c>
      <c r="C63" s="1001">
        <f>'[12]Summary by Parish'!E63</f>
        <v>3.5629149999999998</v>
      </c>
      <c r="D63" s="1002">
        <f>'Table 3 Levels 1&amp;2'!AP64</f>
        <v>5287.5964916741486</v>
      </c>
      <c r="E63" s="1002">
        <f t="shared" si="1"/>
        <v>6960.5083760456309</v>
      </c>
      <c r="F63" s="1002">
        <f t="shared" si="5"/>
        <v>8430.8557679078258</v>
      </c>
      <c r="G63" s="1003">
        <f t="shared" si="6"/>
        <v>30038.422478315311</v>
      </c>
      <c r="H63" s="1003">
        <f>2503*8</f>
        <v>20024</v>
      </c>
      <c r="I63" s="1004">
        <f t="shared" si="7"/>
        <v>10014.422478315311</v>
      </c>
      <c r="J63" s="1003">
        <f t="shared" si="8"/>
        <v>2504</v>
      </c>
      <c r="K63" s="969">
        <f>'Table 3 Levels 1&amp;2'!AS64</f>
        <v>23032926</v>
      </c>
      <c r="L63" s="1005">
        <f>'Table 3 Levels 1&amp;2'!C64</f>
        <v>8777</v>
      </c>
      <c r="M63" s="1005">
        <f t="shared" si="2"/>
        <v>8780.5629150000004</v>
      </c>
      <c r="N63" s="983">
        <f t="shared" si="9"/>
        <v>2623.1719108409802</v>
      </c>
      <c r="O63" s="984">
        <f t="shared" si="3"/>
        <v>9346.1385487139905</v>
      </c>
      <c r="P63" s="984">
        <f>779*8</f>
        <v>6232</v>
      </c>
      <c r="Q63" s="984">
        <f t="shared" si="10"/>
        <v>3114.1385487139905</v>
      </c>
      <c r="R63" s="984">
        <f t="shared" si="11"/>
        <v>779</v>
      </c>
      <c r="S63" s="985">
        <f t="shared" si="4"/>
        <v>39384.561027029304</v>
      </c>
      <c r="T63" s="1006"/>
      <c r="U63" s="1007"/>
      <c r="V63" s="985">
        <f t="shared" si="12"/>
        <v>3283</v>
      </c>
    </row>
    <row r="64" spans="1:22">
      <c r="A64" s="976">
        <v>58</v>
      </c>
      <c r="B64" s="977" t="s">
        <v>232</v>
      </c>
      <c r="C64" s="1001">
        <f>'[12]Summary by Parish'!E64</f>
        <v>2.2962449999999999</v>
      </c>
      <c r="D64" s="1002">
        <f>'Table 3 Levels 1&amp;2'!AP65</f>
        <v>5982.0050725948631</v>
      </c>
      <c r="E64" s="1002">
        <f t="shared" si="1"/>
        <v>7874.6168469751583</v>
      </c>
      <c r="F64" s="1002">
        <f t="shared" si="5"/>
        <v>9344.9642388373541</v>
      </c>
      <c r="G64" s="1003">
        <f t="shared" si="6"/>
        <v>21458.327408609079</v>
      </c>
      <c r="H64" s="1003">
        <f>1788*8</f>
        <v>14304</v>
      </c>
      <c r="I64" s="1004">
        <f t="shared" si="7"/>
        <v>7154.3274086090787</v>
      </c>
      <c r="J64" s="1003">
        <f t="shared" si="8"/>
        <v>1789</v>
      </c>
      <c r="K64" s="969">
        <f>'Table 3 Levels 1&amp;2'!AS65</f>
        <v>16728719.5</v>
      </c>
      <c r="L64" s="1005">
        <f>'Table 3 Levels 1&amp;2'!C65</f>
        <v>9266</v>
      </c>
      <c r="M64" s="1005">
        <f t="shared" si="2"/>
        <v>9268.2962449999995</v>
      </c>
      <c r="N64" s="983">
        <f t="shared" si="9"/>
        <v>1804.9400944671684</v>
      </c>
      <c r="O64" s="984">
        <f t="shared" si="3"/>
        <v>4144.5846672197631</v>
      </c>
      <c r="P64" s="984">
        <f>345*8</f>
        <v>2760</v>
      </c>
      <c r="Q64" s="984">
        <f t="shared" si="10"/>
        <v>1384.5846672197631</v>
      </c>
      <c r="R64" s="984">
        <f t="shared" si="11"/>
        <v>346</v>
      </c>
      <c r="S64" s="985">
        <f t="shared" si="4"/>
        <v>25602.912075828841</v>
      </c>
      <c r="T64" s="1006"/>
      <c r="U64" s="1007"/>
      <c r="V64" s="985">
        <f t="shared" si="12"/>
        <v>2135</v>
      </c>
    </row>
    <row r="65" spans="1:22">
      <c r="A65" s="976">
        <v>59</v>
      </c>
      <c r="B65" s="977" t="s">
        <v>233</v>
      </c>
      <c r="C65" s="1001">
        <f>'[12]Summary by Parish'!E65</f>
        <v>2.3013699999999999</v>
      </c>
      <c r="D65" s="1002">
        <f>'Table 3 Levels 1&amp;2'!AP66</f>
        <v>6900.3835730866322</v>
      </c>
      <c r="E65" s="1002">
        <f t="shared" si="1"/>
        <v>9083.5557770010473</v>
      </c>
      <c r="F65" s="1002">
        <f t="shared" si="5"/>
        <v>10553.903168863242</v>
      </c>
      <c r="G65" s="1003">
        <f t="shared" si="6"/>
        <v>24288.436135726799</v>
      </c>
      <c r="H65" s="1003">
        <f>2024*8</f>
        <v>16192</v>
      </c>
      <c r="I65" s="1004">
        <f t="shared" si="7"/>
        <v>8096.436135726799</v>
      </c>
      <c r="J65" s="1003">
        <f t="shared" si="8"/>
        <v>2024</v>
      </c>
      <c r="K65" s="969">
        <f>'Table 3 Levels 1&amp;2'!AS66</f>
        <v>7701440</v>
      </c>
      <c r="L65" s="1005">
        <f>'Table 3 Levels 1&amp;2'!C66</f>
        <v>5102</v>
      </c>
      <c r="M65" s="1005">
        <f t="shared" si="2"/>
        <v>5104.3013700000001</v>
      </c>
      <c r="N65" s="983">
        <f t="shared" si="9"/>
        <v>1508.8137321327483</v>
      </c>
      <c r="O65" s="984">
        <f t="shared" si="3"/>
        <v>3472.3386587183427</v>
      </c>
      <c r="P65" s="984">
        <f>289*8</f>
        <v>2312</v>
      </c>
      <c r="Q65" s="984">
        <f t="shared" si="10"/>
        <v>1160.3386587183427</v>
      </c>
      <c r="R65" s="984">
        <f t="shared" si="11"/>
        <v>290</v>
      </c>
      <c r="S65" s="985">
        <f t="shared" si="4"/>
        <v>27760.77479444514</v>
      </c>
      <c r="T65" s="1006"/>
      <c r="U65" s="1007"/>
      <c r="V65" s="985">
        <f t="shared" si="12"/>
        <v>2314</v>
      </c>
    </row>
    <row r="66" spans="1:22">
      <c r="A66" s="987">
        <v>60</v>
      </c>
      <c r="B66" s="988" t="s">
        <v>234</v>
      </c>
      <c r="C66" s="1008">
        <f>'[12]Summary by Parish'!E66</f>
        <v>1.200501</v>
      </c>
      <c r="D66" s="1009">
        <f>'Table 3 Levels 1&amp;2'!AP67</f>
        <v>5507.8971659925655</v>
      </c>
      <c r="E66" s="1009">
        <f t="shared" si="1"/>
        <v>7250.5086987359755</v>
      </c>
      <c r="F66" s="1009">
        <f t="shared" si="5"/>
        <v>8720.8560905981703</v>
      </c>
      <c r="G66" s="1010">
        <f t="shared" si="6"/>
        <v>10469.396457619194</v>
      </c>
      <c r="H66" s="1010">
        <f>872*8</f>
        <v>6976</v>
      </c>
      <c r="I66" s="1011">
        <f t="shared" si="7"/>
        <v>3493.3964576191938</v>
      </c>
      <c r="J66" s="1010">
        <f t="shared" si="8"/>
        <v>873</v>
      </c>
      <c r="K66" s="993">
        <f>'Table 3 Levels 1&amp;2'!AS67</f>
        <v>21851745.899999999</v>
      </c>
      <c r="L66" s="1012">
        <f>'Table 3 Levels 1&amp;2'!C67</f>
        <v>6725</v>
      </c>
      <c r="M66" s="1012">
        <f t="shared" si="2"/>
        <v>6726.2005010000003</v>
      </c>
      <c r="N66" s="995">
        <f t="shared" si="9"/>
        <v>3248.7503006714187</v>
      </c>
      <c r="O66" s="996">
        <f t="shared" si="3"/>
        <v>3900.1279847063388</v>
      </c>
      <c r="P66" s="996">
        <f>325*8</f>
        <v>2600</v>
      </c>
      <c r="Q66" s="996">
        <f t="shared" si="10"/>
        <v>1300.1279847063388</v>
      </c>
      <c r="R66" s="996">
        <f t="shared" si="11"/>
        <v>325</v>
      </c>
      <c r="S66" s="997">
        <f t="shared" si="4"/>
        <v>14369.524442325532</v>
      </c>
      <c r="T66" s="1007"/>
      <c r="U66" s="1007"/>
      <c r="V66" s="997">
        <f t="shared" si="12"/>
        <v>1198</v>
      </c>
    </row>
    <row r="67" spans="1:22">
      <c r="A67" s="964">
        <v>61</v>
      </c>
      <c r="B67" s="965" t="s">
        <v>235</v>
      </c>
      <c r="C67" s="1013">
        <f>'[12]Summary by Parish'!E67</f>
        <v>7.6846269999999999</v>
      </c>
      <c r="D67" s="1014">
        <f>'Table 3 Levels 1&amp;2'!AP68</f>
        <v>3757.5606746217863</v>
      </c>
      <c r="E67" s="1014">
        <f t="shared" si="1"/>
        <v>4946.3934304343284</v>
      </c>
      <c r="F67" s="1014">
        <f t="shared" si="5"/>
        <v>6416.7408222965232</v>
      </c>
      <c r="G67" s="1015">
        <f t="shared" si="6"/>
        <v>49310.259775022067</v>
      </c>
      <c r="H67" s="1015">
        <f>4109*8</f>
        <v>32872</v>
      </c>
      <c r="I67" s="1016">
        <f t="shared" si="7"/>
        <v>16438.259775022067</v>
      </c>
      <c r="J67" s="1015">
        <f t="shared" si="8"/>
        <v>4110</v>
      </c>
      <c r="K67" s="969">
        <f>'Table 3 Levels 1&amp;2'!AS68</f>
        <v>17040983.800000001</v>
      </c>
      <c r="L67" s="1017">
        <f>'Table 3 Levels 1&amp;2'!C68</f>
        <v>3470</v>
      </c>
      <c r="M67" s="1017">
        <f t="shared" si="2"/>
        <v>3477.6846270000001</v>
      </c>
      <c r="N67" s="971">
        <f t="shared" si="9"/>
        <v>4900.0946398927163</v>
      </c>
      <c r="O67" s="972">
        <f t="shared" si="3"/>
        <v>37655.399572274844</v>
      </c>
      <c r="P67" s="972">
        <f>3138*8</f>
        <v>25104</v>
      </c>
      <c r="Q67" s="972">
        <f t="shared" si="10"/>
        <v>12551.399572274844</v>
      </c>
      <c r="R67" s="972">
        <f t="shared" si="11"/>
        <v>3138</v>
      </c>
      <c r="S67" s="973">
        <f t="shared" si="4"/>
        <v>86965.659347296911</v>
      </c>
      <c r="T67" s="1006"/>
      <c r="U67" s="1007"/>
      <c r="V67" s="973">
        <f t="shared" si="12"/>
        <v>7248</v>
      </c>
    </row>
    <row r="68" spans="1:22">
      <c r="A68" s="976">
        <v>62</v>
      </c>
      <c r="B68" s="977" t="s">
        <v>236</v>
      </c>
      <c r="C68" s="1001">
        <f>'[12]Summary by Parish'!E68</f>
        <v>0.99442900000000001</v>
      </c>
      <c r="D68" s="1002">
        <f>'Table 3 Levels 1&amp;2'!AP69</f>
        <v>6018.8044753025442</v>
      </c>
      <c r="E68" s="1002">
        <f t="shared" si="1"/>
        <v>7923.0589985621064</v>
      </c>
      <c r="F68" s="1002">
        <f t="shared" si="5"/>
        <v>9393.4063904243012</v>
      </c>
      <c r="G68" s="1003">
        <f t="shared" si="6"/>
        <v>9341.0757234232478</v>
      </c>
      <c r="H68" s="1003">
        <f>778*8</f>
        <v>6224</v>
      </c>
      <c r="I68" s="1004">
        <f t="shared" si="7"/>
        <v>3117.0757234232478</v>
      </c>
      <c r="J68" s="1003">
        <f t="shared" si="8"/>
        <v>779</v>
      </c>
      <c r="K68" s="969">
        <f>'Table 3 Levels 1&amp;2'!AS69</f>
        <v>3620843.5</v>
      </c>
      <c r="L68" s="1005">
        <f>'Table 3 Levels 1&amp;2'!C69</f>
        <v>2122</v>
      </c>
      <c r="M68" s="1005">
        <f t="shared" si="2"/>
        <v>2122.9944289999999</v>
      </c>
      <c r="N68" s="983">
        <f t="shared" si="9"/>
        <v>1705.5360346402492</v>
      </c>
      <c r="O68" s="984">
        <f t="shared" si="3"/>
        <v>1696.0344933912684</v>
      </c>
      <c r="P68" s="984">
        <f>141*8</f>
        <v>1128</v>
      </c>
      <c r="Q68" s="984">
        <f t="shared" si="10"/>
        <v>568.03449339126837</v>
      </c>
      <c r="R68" s="984">
        <f t="shared" si="11"/>
        <v>142</v>
      </c>
      <c r="S68" s="985">
        <f t="shared" si="4"/>
        <v>11037.110216814515</v>
      </c>
      <c r="T68" s="1006"/>
      <c r="U68" s="1007"/>
      <c r="V68" s="985">
        <f t="shared" si="12"/>
        <v>921</v>
      </c>
    </row>
    <row r="69" spans="1:22">
      <c r="A69" s="976">
        <v>63</v>
      </c>
      <c r="B69" s="977" t="s">
        <v>237</v>
      </c>
      <c r="C69" s="1001">
        <f>'[12]Summary by Parish'!E69</f>
        <v>1.994429</v>
      </c>
      <c r="D69" s="1002">
        <f>'Table 3 Levels 1&amp;2'!AP70</f>
        <v>5003.6235591188406</v>
      </c>
      <c r="E69" s="1002">
        <f t="shared" si="1"/>
        <v>6586.6908998570043</v>
      </c>
      <c r="F69" s="1002">
        <f t="shared" si="5"/>
        <v>8057.0382917191992</v>
      </c>
      <c r="G69" s="1003">
        <f t="shared" si="6"/>
        <v>16069.19082311523</v>
      </c>
      <c r="H69" s="1003">
        <f>1339*8</f>
        <v>10712</v>
      </c>
      <c r="I69" s="1004">
        <f t="shared" si="7"/>
        <v>5357.1908231152302</v>
      </c>
      <c r="J69" s="1003">
        <f t="shared" si="8"/>
        <v>1339</v>
      </c>
      <c r="K69" s="969">
        <f>'Table 3 Levels 1&amp;2'!AS70</f>
        <v>10647012.5</v>
      </c>
      <c r="L69" s="1005">
        <f>'Table 3 Levels 1&amp;2'!C70</f>
        <v>2070</v>
      </c>
      <c r="M69" s="1005">
        <f t="shared" si="2"/>
        <v>2071.9944289999999</v>
      </c>
      <c r="N69" s="983">
        <f t="shared" si="9"/>
        <v>5138.5333623404258</v>
      </c>
      <c r="O69" s="984">
        <f t="shared" si="3"/>
        <v>10248.439955319252</v>
      </c>
      <c r="P69" s="984">
        <f>854*8</f>
        <v>6832</v>
      </c>
      <c r="Q69" s="984">
        <f t="shared" si="10"/>
        <v>3416.4399553192525</v>
      </c>
      <c r="R69" s="984">
        <f t="shared" si="11"/>
        <v>854</v>
      </c>
      <c r="S69" s="985">
        <f t="shared" si="4"/>
        <v>26317.630778434483</v>
      </c>
      <c r="T69" s="1006"/>
      <c r="U69" s="1007"/>
      <c r="V69" s="985">
        <f t="shared" si="12"/>
        <v>2193</v>
      </c>
    </row>
    <row r="70" spans="1:22">
      <c r="A70" s="976">
        <v>64</v>
      </c>
      <c r="B70" s="977" t="s">
        <v>238</v>
      </c>
      <c r="C70" s="1001">
        <f>'[12]Summary by Parish'!E70</f>
        <v>0</v>
      </c>
      <c r="D70" s="1002">
        <f>'Table 3 Levels 1&amp;2'!AP71</f>
        <v>6449.644683137094</v>
      </c>
      <c r="E70" s="1002">
        <f t="shared" si="1"/>
        <v>8490.2102326041968</v>
      </c>
      <c r="F70" s="1002">
        <f t="shared" si="5"/>
        <v>9960.5576244663916</v>
      </c>
      <c r="G70" s="1003">
        <f t="shared" si="6"/>
        <v>0</v>
      </c>
      <c r="H70" s="1003">
        <f>0*8</f>
        <v>0</v>
      </c>
      <c r="I70" s="1004">
        <f t="shared" si="7"/>
        <v>0</v>
      </c>
      <c r="J70" s="1003">
        <f t="shared" si="8"/>
        <v>0</v>
      </c>
      <c r="K70" s="969">
        <f>'Table 3 Levels 1&amp;2'!AS71</f>
        <v>6271761</v>
      </c>
      <c r="L70" s="1005">
        <f>'Table 3 Levels 1&amp;2'!C71</f>
        <v>2429</v>
      </c>
      <c r="M70" s="1005">
        <f t="shared" si="2"/>
        <v>2429</v>
      </c>
      <c r="N70" s="983">
        <f t="shared" si="9"/>
        <v>2582.0341704405105</v>
      </c>
      <c r="O70" s="984">
        <f t="shared" si="3"/>
        <v>0</v>
      </c>
      <c r="P70" s="984">
        <f>0*8</f>
        <v>0</v>
      </c>
      <c r="Q70" s="984">
        <f t="shared" si="10"/>
        <v>0</v>
      </c>
      <c r="R70" s="984">
        <f t="shared" si="11"/>
        <v>0</v>
      </c>
      <c r="S70" s="985">
        <f t="shared" si="4"/>
        <v>0</v>
      </c>
      <c r="T70" s="1006"/>
      <c r="U70" s="1007"/>
      <c r="V70" s="985">
        <f t="shared" si="12"/>
        <v>0</v>
      </c>
    </row>
    <row r="71" spans="1:22">
      <c r="A71" s="987">
        <v>65</v>
      </c>
      <c r="B71" s="988" t="s">
        <v>239</v>
      </c>
      <c r="C71" s="1008">
        <f>'[12]Summary by Parish'!E71</f>
        <v>2.7040000000000002</v>
      </c>
      <c r="D71" s="1009">
        <f>'Table 3 Levels 1&amp;2'!AP72</f>
        <v>5338.1644693541966</v>
      </c>
      <c r="E71" s="1009">
        <f t="shared" ref="E71:E76" si="15">D71*(1+$E$4)</f>
        <v>7027.0752619182358</v>
      </c>
      <c r="F71" s="1009">
        <f t="shared" si="5"/>
        <v>8497.4226537804316</v>
      </c>
      <c r="G71" s="1010">
        <f t="shared" si="6"/>
        <v>22977.03085582229</v>
      </c>
      <c r="H71" s="1010">
        <f>1915*8</f>
        <v>15320</v>
      </c>
      <c r="I71" s="1011">
        <f t="shared" si="7"/>
        <v>7657.0308558222896</v>
      </c>
      <c r="J71" s="1010">
        <f t="shared" si="8"/>
        <v>1914</v>
      </c>
      <c r="K71" s="993">
        <f>'Table 3 Levels 1&amp;2'!AS72</f>
        <v>32921082.199999999</v>
      </c>
      <c r="L71" s="1012">
        <f>'Table 3 Levels 1&amp;2'!C72</f>
        <v>8436</v>
      </c>
      <c r="M71" s="1012">
        <f t="shared" ref="M71:M75" si="16">C71+L71</f>
        <v>8438.7039999999997</v>
      </c>
      <c r="N71" s="995">
        <f t="shared" si="9"/>
        <v>3901.2012034075374</v>
      </c>
      <c r="O71" s="996">
        <f t="shared" ref="O71:O75" si="17">C71*N71</f>
        <v>10548.848054013983</v>
      </c>
      <c r="P71" s="996">
        <f>879*8</f>
        <v>7032</v>
      </c>
      <c r="Q71" s="996">
        <f t="shared" si="10"/>
        <v>3516.8480540139826</v>
      </c>
      <c r="R71" s="996">
        <f t="shared" si="11"/>
        <v>879</v>
      </c>
      <c r="S71" s="997">
        <f t="shared" ref="S71:S75" si="18">G71+O71</f>
        <v>33525.878909836276</v>
      </c>
      <c r="T71" s="1007"/>
      <c r="U71" s="1007"/>
      <c r="V71" s="997">
        <f t="shared" si="12"/>
        <v>2793</v>
      </c>
    </row>
    <row r="72" spans="1:22">
      <c r="A72" s="964">
        <v>66</v>
      </c>
      <c r="B72" s="965" t="s">
        <v>240</v>
      </c>
      <c r="C72" s="1013">
        <f>'[12]Summary by Parish'!E72</f>
        <v>2.9558900000000001</v>
      </c>
      <c r="D72" s="1014">
        <f>'Table 3 Levels 1&amp;2'!AP73</f>
        <v>6894.9861591864401</v>
      </c>
      <c r="E72" s="1014">
        <f t="shared" si="15"/>
        <v>9076.4507067256527</v>
      </c>
      <c r="F72" s="1014">
        <f t="shared" ref="F72:F76" si="19">E72+$F$4</f>
        <v>10546.798098587848</v>
      </c>
      <c r="G72" s="1015">
        <f>C72*F72</f>
        <v>31175.175031634833</v>
      </c>
      <c r="H72" s="1015">
        <f>2598*8</f>
        <v>20784</v>
      </c>
      <c r="I72" s="1016">
        <f t="shared" ref="I72:I75" si="20">G72-H72</f>
        <v>10391.175031634833</v>
      </c>
      <c r="J72" s="1015">
        <f t="shared" ref="J72:J75" si="21">ROUND(I72/4,0)</f>
        <v>2598</v>
      </c>
      <c r="K72" s="969">
        <f>'Table 3 Levels 1&amp;2'!AS73</f>
        <v>6968788</v>
      </c>
      <c r="L72" s="1017">
        <f>'Table 3 Levels 1&amp;2'!C73</f>
        <v>2065</v>
      </c>
      <c r="M72" s="1017">
        <f t="shared" si="16"/>
        <v>2067.9558900000002</v>
      </c>
      <c r="N72" s="971">
        <f t="shared" ref="N72:N76" si="22">K72/M72</f>
        <v>3369.891995133416</v>
      </c>
      <c r="O72" s="972">
        <f t="shared" si="17"/>
        <v>9961.0300494949133</v>
      </c>
      <c r="P72" s="972">
        <f>830*8</f>
        <v>6640</v>
      </c>
      <c r="Q72" s="972">
        <f t="shared" ref="Q72:Q75" si="23">O72-P72</f>
        <v>3321.0300494949133</v>
      </c>
      <c r="R72" s="972">
        <f t="shared" ref="R72:R75" si="24">ROUND(Q72/4,0)</f>
        <v>830</v>
      </c>
      <c r="S72" s="973">
        <f t="shared" si="18"/>
        <v>41136.205081129745</v>
      </c>
      <c r="T72" s="1006"/>
      <c r="U72" s="1007"/>
      <c r="V72" s="973">
        <f>J72+R72</f>
        <v>3428</v>
      </c>
    </row>
    <row r="73" spans="1:22">
      <c r="A73" s="976">
        <v>67</v>
      </c>
      <c r="B73" s="977" t="s">
        <v>241</v>
      </c>
      <c r="C73" s="1001">
        <f>'[12]Summary by Parish'!E73</f>
        <v>0.47199999999999998</v>
      </c>
      <c r="D73" s="1002">
        <f>'Table 3 Levels 1&amp;2'!AP74</f>
        <v>5713.3561366989734</v>
      </c>
      <c r="E73" s="1002">
        <f t="shared" si="15"/>
        <v>7520.9716375754842</v>
      </c>
      <c r="F73" s="1002">
        <f t="shared" si="19"/>
        <v>8991.31902943768</v>
      </c>
      <c r="G73" s="1003">
        <f>C73*F73</f>
        <v>4243.9025818945847</v>
      </c>
      <c r="H73" s="1003">
        <f>354*8</f>
        <v>2832</v>
      </c>
      <c r="I73" s="1004">
        <f t="shared" si="20"/>
        <v>1411.9025818945847</v>
      </c>
      <c r="J73" s="1003">
        <f t="shared" si="21"/>
        <v>353</v>
      </c>
      <c r="K73" s="969">
        <f>'Table 3 Levels 1&amp;2'!AS74</f>
        <v>15357776.300000001</v>
      </c>
      <c r="L73" s="1005">
        <f>'Table 3 Levels 1&amp;2'!C74</f>
        <v>4870</v>
      </c>
      <c r="M73" s="1005">
        <f t="shared" si="16"/>
        <v>4870.4719999999998</v>
      </c>
      <c r="N73" s="983">
        <f t="shared" si="22"/>
        <v>3153.2418829222306</v>
      </c>
      <c r="O73" s="984">
        <f t="shared" si="17"/>
        <v>1488.3301687392927</v>
      </c>
      <c r="P73" s="984">
        <f>124*8</f>
        <v>992</v>
      </c>
      <c r="Q73" s="984">
        <f t="shared" si="23"/>
        <v>496.33016873929273</v>
      </c>
      <c r="R73" s="984">
        <f t="shared" si="24"/>
        <v>124</v>
      </c>
      <c r="S73" s="985">
        <f t="shared" si="18"/>
        <v>5732.232750633877</v>
      </c>
      <c r="T73" s="1006"/>
      <c r="U73" s="1007"/>
      <c r="V73" s="985">
        <f>J73+R73</f>
        <v>477</v>
      </c>
    </row>
    <row r="74" spans="1:22">
      <c r="A74" s="976">
        <v>68</v>
      </c>
      <c r="B74" s="977" t="s">
        <v>242</v>
      </c>
      <c r="C74" s="1001">
        <f>'[12]Summary by Parish'!E74</f>
        <v>0</v>
      </c>
      <c r="D74" s="1002">
        <f>'Table 3 Levels 1&amp;2'!AP75</f>
        <v>6655.5933286433719</v>
      </c>
      <c r="E74" s="1002">
        <f t="shared" si="15"/>
        <v>8761.3177716039863</v>
      </c>
      <c r="F74" s="1002">
        <f t="shared" si="19"/>
        <v>10231.665163466181</v>
      </c>
      <c r="G74" s="1003">
        <f>C74*F74</f>
        <v>0</v>
      </c>
      <c r="H74" s="1003">
        <f>0*8</f>
        <v>0</v>
      </c>
      <c r="I74" s="1004">
        <f t="shared" si="20"/>
        <v>0</v>
      </c>
      <c r="J74" s="1003">
        <f t="shared" si="21"/>
        <v>0</v>
      </c>
      <c r="K74" s="969">
        <f>'Table 3 Levels 1&amp;2'!AS75</f>
        <v>4962639</v>
      </c>
      <c r="L74" s="1005">
        <f>'Table 3 Levels 1&amp;2'!C75</f>
        <v>1803</v>
      </c>
      <c r="M74" s="1005">
        <f t="shared" si="16"/>
        <v>1803</v>
      </c>
      <c r="N74" s="983">
        <f t="shared" si="22"/>
        <v>2752.4342762063229</v>
      </c>
      <c r="O74" s="984">
        <f t="shared" si="17"/>
        <v>0</v>
      </c>
      <c r="P74" s="984">
        <f>0*8</f>
        <v>0</v>
      </c>
      <c r="Q74" s="984">
        <f t="shared" si="23"/>
        <v>0</v>
      </c>
      <c r="R74" s="984">
        <f t="shared" si="24"/>
        <v>0</v>
      </c>
      <c r="S74" s="985">
        <f t="shared" si="18"/>
        <v>0</v>
      </c>
      <c r="T74" s="1006"/>
      <c r="U74" s="1007"/>
      <c r="V74" s="985">
        <f>J74+R74</f>
        <v>0</v>
      </c>
    </row>
    <row r="75" spans="1:22">
      <c r="A75" s="1018">
        <v>69</v>
      </c>
      <c r="B75" s="1019" t="s">
        <v>243</v>
      </c>
      <c r="C75" s="1020">
        <f>'[12]Summary by Parish'!E75</f>
        <v>0</v>
      </c>
      <c r="D75" s="1021">
        <f>'Table 3 Levels 1&amp;2'!AP76</f>
        <v>6198.9942070394236</v>
      </c>
      <c r="E75" s="1021">
        <f t="shared" si="15"/>
        <v>8160.2579109615008</v>
      </c>
      <c r="F75" s="1021">
        <f t="shared" si="19"/>
        <v>9630.6053028236965</v>
      </c>
      <c r="G75" s="1022">
        <f>C75*F75</f>
        <v>0</v>
      </c>
      <c r="H75" s="1003">
        <f>0*8</f>
        <v>0</v>
      </c>
      <c r="I75" s="1023">
        <f t="shared" si="20"/>
        <v>0</v>
      </c>
      <c r="J75" s="1022">
        <f t="shared" si="21"/>
        <v>0</v>
      </c>
      <c r="K75" s="969">
        <f>'Table 3 Levels 1&amp;2'!AS76</f>
        <v>11106937.6</v>
      </c>
      <c r="L75" s="1024">
        <f>'Table 3 Levels 1&amp;2'!C76</f>
        <v>3891</v>
      </c>
      <c r="M75" s="1024">
        <f t="shared" si="16"/>
        <v>3891</v>
      </c>
      <c r="N75" s="1025">
        <f t="shared" si="22"/>
        <v>2854.5200719609352</v>
      </c>
      <c r="O75" s="1026">
        <f t="shared" si="17"/>
        <v>0</v>
      </c>
      <c r="P75" s="1026">
        <f>0*8</f>
        <v>0</v>
      </c>
      <c r="Q75" s="1026">
        <f t="shared" si="23"/>
        <v>0</v>
      </c>
      <c r="R75" s="1026">
        <f t="shared" si="24"/>
        <v>0</v>
      </c>
      <c r="S75" s="1027">
        <f t="shared" si="18"/>
        <v>0</v>
      </c>
      <c r="T75" s="1006"/>
      <c r="U75" s="1007"/>
      <c r="V75" s="1027">
        <f>J75+R75</f>
        <v>0</v>
      </c>
    </row>
    <row r="76" spans="1:22" s="532" customFormat="1" ht="13.5" thickBot="1">
      <c r="A76" s="1028"/>
      <c r="B76" s="1029" t="s">
        <v>244</v>
      </c>
      <c r="C76" s="1030">
        <f>SUM(C7:C75)</f>
        <v>330.32457200000005</v>
      </c>
      <c r="D76" s="1031">
        <f>'Table 3 Levels 1&amp;2'!AP77</f>
        <v>5035.4177950722069</v>
      </c>
      <c r="E76" s="1031">
        <f t="shared" si="15"/>
        <v>6628.5443291063511</v>
      </c>
      <c r="F76" s="1031">
        <f t="shared" si="19"/>
        <v>8098.891720968546</v>
      </c>
      <c r="G76" s="1032">
        <f t="shared" ref="G76:M76" si="25">SUM(G7:G75)</f>
        <v>2592468.8423817819</v>
      </c>
      <c r="H76" s="1032">
        <f t="shared" si="25"/>
        <v>1728304</v>
      </c>
      <c r="I76" s="1032">
        <f t="shared" si="25"/>
        <v>864164.84238178155</v>
      </c>
      <c r="J76" s="1032">
        <f t="shared" si="25"/>
        <v>216041</v>
      </c>
      <c r="K76" s="1033">
        <f t="shared" si="25"/>
        <v>2311313116.7000003</v>
      </c>
      <c r="L76" s="1034">
        <f t="shared" si="25"/>
        <v>661517</v>
      </c>
      <c r="M76" s="1034">
        <f t="shared" si="25"/>
        <v>661847.32457200007</v>
      </c>
      <c r="N76" s="1033">
        <f t="shared" si="22"/>
        <v>3492.2149427659438</v>
      </c>
      <c r="O76" s="1035">
        <f>SUM(O7:O75)</f>
        <v>1225985.6791791995</v>
      </c>
      <c r="P76" s="1035">
        <f>SUM(P7:P75)</f>
        <v>817320</v>
      </c>
      <c r="Q76" s="1035">
        <f>SUM(Q7:Q75)</f>
        <v>408665.67917919951</v>
      </c>
      <c r="R76" s="1035">
        <f>SUM(R7:R75)</f>
        <v>102166</v>
      </c>
      <c r="S76" s="1036">
        <f>SUM(S7:S75)</f>
        <v>3818454.5215609805</v>
      </c>
      <c r="T76" s="1037"/>
      <c r="U76" s="1037"/>
      <c r="V76" s="1036">
        <f>SUM(V7:V75)</f>
        <v>318207</v>
      </c>
    </row>
    <row r="77" spans="1:22" s="532" customFormat="1" ht="13.5" thickTop="1">
      <c r="A77" s="1038"/>
      <c r="B77" s="1038"/>
      <c r="C77" s="1039"/>
      <c r="D77" s="1039"/>
      <c r="E77" s="1039"/>
      <c r="F77" s="1039"/>
      <c r="H77" s="943"/>
      <c r="I77" s="943"/>
      <c r="K77" s="1040"/>
      <c r="L77" s="1041"/>
      <c r="M77" s="1040"/>
      <c r="N77" s="1040"/>
      <c r="O77" s="1040"/>
      <c r="P77" s="1040"/>
      <c r="Q77" s="1040"/>
      <c r="R77" s="1040"/>
      <c r="T77" s="1042"/>
      <c r="U77" s="1042"/>
    </row>
    <row r="78" spans="1:22" ht="16.5" customHeight="1">
      <c r="A78" s="1043"/>
      <c r="C78" s="1044"/>
      <c r="L78" s="1044"/>
    </row>
    <row r="79" spans="1:22" s="1478" customFormat="1" ht="12.75" hidden="1" customHeight="1">
      <c r="C79" s="1538"/>
      <c r="D79" s="1538"/>
      <c r="E79" s="1478">
        <v>177</v>
      </c>
      <c r="G79" s="1538"/>
      <c r="H79" s="1539"/>
      <c r="I79" s="1539"/>
      <c r="J79" s="1538"/>
      <c r="K79" s="1540"/>
      <c r="L79" s="1538"/>
      <c r="M79" s="1538"/>
      <c r="N79" s="1538"/>
      <c r="O79" s="1538"/>
      <c r="P79" s="1538"/>
      <c r="Q79" s="1538"/>
      <c r="R79" s="1538"/>
      <c r="T79" s="1539"/>
      <c r="U79" s="1539"/>
    </row>
    <row r="80" spans="1:22" s="1478" customFormat="1" hidden="1">
      <c r="C80" s="1538"/>
      <c r="D80" s="1538"/>
      <c r="E80" s="1502">
        <v>233</v>
      </c>
      <c r="F80" s="1499"/>
      <c r="G80" s="1538"/>
      <c r="H80" s="1539"/>
      <c r="I80" s="1539"/>
      <c r="J80" s="1538"/>
      <c r="K80" s="1540"/>
      <c r="L80" s="1538"/>
      <c r="M80" s="1538"/>
      <c r="N80" s="1538"/>
      <c r="O80" s="1538"/>
      <c r="P80" s="1538"/>
      <c r="Q80" s="1538"/>
      <c r="R80" s="1538"/>
      <c r="T80" s="1539"/>
      <c r="U80" s="1539"/>
    </row>
    <row r="81" spans="3:21" s="1478" customFormat="1" hidden="1">
      <c r="C81" s="1538"/>
      <c r="D81" s="1538"/>
      <c r="E81" s="1478">
        <f>E80-E79</f>
        <v>56</v>
      </c>
      <c r="G81" s="1538"/>
      <c r="H81" s="1539"/>
      <c r="I81" s="1539"/>
      <c r="J81" s="1538"/>
      <c r="K81" s="1540"/>
      <c r="L81" s="1538"/>
      <c r="M81" s="1538"/>
      <c r="N81" s="1538"/>
      <c r="O81" s="1538"/>
      <c r="P81" s="1538"/>
      <c r="Q81" s="1538"/>
      <c r="R81" s="1538"/>
      <c r="T81" s="1539"/>
      <c r="U81" s="1539"/>
    </row>
    <row r="82" spans="3:21" s="1478" customFormat="1" hidden="1">
      <c r="C82" s="1538"/>
      <c r="D82" s="1538"/>
      <c r="G82" s="1538"/>
      <c r="H82" s="1541"/>
      <c r="I82" s="1541"/>
      <c r="J82" s="1538"/>
      <c r="K82" s="1540"/>
      <c r="L82" s="1538"/>
      <c r="M82" s="1538"/>
      <c r="N82" s="1538"/>
      <c r="O82" s="1538"/>
      <c r="P82" s="1538"/>
      <c r="Q82" s="1538"/>
      <c r="R82" s="1538"/>
      <c r="T82" s="1539"/>
      <c r="U82" s="1539"/>
    </row>
    <row r="83" spans="3:21" s="1478" customFormat="1" hidden="1">
      <c r="C83" s="1538"/>
      <c r="D83" s="1538"/>
      <c r="E83" s="1478">
        <f>E81/E79</f>
        <v>0.31638418079096048</v>
      </c>
      <c r="G83" s="1542" t="s">
        <v>789</v>
      </c>
      <c r="H83" s="1539"/>
      <c r="I83" s="1539"/>
      <c r="J83" s="1542"/>
      <c r="K83" s="1540"/>
      <c r="L83" s="1538"/>
      <c r="M83" s="1538"/>
      <c r="N83" s="1538"/>
      <c r="O83" s="1538"/>
      <c r="P83" s="1538"/>
      <c r="Q83" s="1538"/>
      <c r="R83" s="1538"/>
      <c r="T83" s="1541"/>
      <c r="U83" s="1541"/>
    </row>
    <row r="84" spans="3:21" s="1478" customFormat="1" ht="10.5" hidden="1" customHeight="1">
      <c r="C84" s="1538"/>
      <c r="D84" s="1538"/>
      <c r="E84" s="1538"/>
      <c r="F84" s="1538"/>
      <c r="G84" s="1538"/>
      <c r="H84" s="1539"/>
      <c r="I84" s="1539"/>
      <c r="J84" s="1538"/>
      <c r="K84" s="1540"/>
      <c r="L84" s="1538"/>
      <c r="M84" s="1538"/>
      <c r="N84" s="1538"/>
      <c r="O84" s="1538"/>
      <c r="P84" s="1538"/>
      <c r="Q84" s="1538"/>
      <c r="R84" s="1538"/>
      <c r="T84" s="1539"/>
      <c r="U84" s="1539"/>
    </row>
    <row r="85" spans="3:21" s="1478" customFormat="1" hidden="1">
      <c r="C85" s="1538"/>
      <c r="D85" s="1538"/>
      <c r="E85" s="1538"/>
      <c r="F85" s="1538"/>
      <c r="G85" s="1538"/>
      <c r="H85" s="1539"/>
      <c r="I85" s="1539"/>
      <c r="J85" s="1538"/>
      <c r="K85" s="1540"/>
      <c r="L85" s="1538"/>
      <c r="M85" s="1538"/>
      <c r="N85" s="1538"/>
      <c r="O85" s="1538"/>
      <c r="P85" s="1538"/>
      <c r="Q85" s="1538"/>
      <c r="R85" s="1538"/>
      <c r="T85" s="1539"/>
      <c r="U85" s="1539"/>
    </row>
    <row r="86" spans="3:21" s="1478" customFormat="1" hidden="1">
      <c r="C86" s="1543">
        <v>85661</v>
      </c>
      <c r="D86" s="1504" t="s">
        <v>790</v>
      </c>
      <c r="E86" s="1538"/>
      <c r="F86" s="1538"/>
      <c r="G86" s="1538"/>
      <c r="H86" s="1539"/>
      <c r="I86" s="1539"/>
      <c r="J86" s="1538"/>
      <c r="K86" s="1540"/>
      <c r="L86" s="1538"/>
      <c r="M86" s="1538"/>
      <c r="N86" s="1538"/>
      <c r="O86" s="1538"/>
      <c r="P86" s="1538"/>
      <c r="Q86" s="1538"/>
      <c r="R86" s="1538"/>
      <c r="T86" s="1539"/>
      <c r="U86" s="1539"/>
    </row>
    <row r="87" spans="3:21" s="1478" customFormat="1" hidden="1">
      <c r="C87" s="1543">
        <v>650290</v>
      </c>
      <c r="D87" s="1504" t="s">
        <v>791</v>
      </c>
      <c r="E87" s="1538"/>
      <c r="F87" s="1538"/>
      <c r="G87" s="1538"/>
      <c r="H87" s="1539"/>
      <c r="I87" s="1539"/>
      <c r="J87" s="1538"/>
      <c r="K87" s="1540"/>
      <c r="L87" s="1538"/>
      <c r="M87" s="1538"/>
      <c r="N87" s="1538"/>
      <c r="O87" s="1538"/>
      <c r="P87" s="1538"/>
      <c r="Q87" s="1538"/>
      <c r="R87" s="1538"/>
      <c r="T87" s="1539"/>
      <c r="U87" s="1539"/>
    </row>
    <row r="88" spans="3:21" s="1478" customFormat="1" hidden="1">
      <c r="C88" s="1544">
        <f>C86/C87</f>
        <v>0.13172738316750987</v>
      </c>
      <c r="D88" s="1504" t="s">
        <v>792</v>
      </c>
      <c r="E88" s="1538"/>
      <c r="F88" s="1538"/>
      <c r="G88" s="1538"/>
      <c r="H88" s="1539"/>
      <c r="I88" s="1539"/>
      <c r="J88" s="1538"/>
      <c r="K88" s="1540"/>
      <c r="L88" s="1538"/>
      <c r="M88" s="1538"/>
      <c r="N88" s="1538"/>
      <c r="O88" s="1538"/>
      <c r="P88" s="1538"/>
      <c r="Q88" s="1538"/>
      <c r="R88" s="1538"/>
      <c r="T88" s="1539"/>
      <c r="U88" s="1539"/>
    </row>
    <row r="89" spans="3:21" s="1478" customFormat="1" hidden="1">
      <c r="C89" s="1543"/>
      <c r="D89" s="1504"/>
      <c r="E89" s="1538"/>
      <c r="F89" s="1538"/>
      <c r="G89" s="1538"/>
      <c r="H89" s="1539"/>
      <c r="I89" s="1539"/>
      <c r="J89" s="1538"/>
      <c r="K89" s="1540"/>
      <c r="L89" s="1538"/>
      <c r="M89" s="1538"/>
      <c r="N89" s="1538"/>
      <c r="O89" s="1538"/>
      <c r="P89" s="1538"/>
      <c r="Q89" s="1538"/>
      <c r="R89" s="1538"/>
      <c r="T89" s="1539"/>
      <c r="U89" s="1539"/>
    </row>
    <row r="90" spans="3:21" s="1478" customFormat="1" hidden="1">
      <c r="C90" s="1543">
        <v>128510</v>
      </c>
      <c r="D90" s="1504" t="s">
        <v>793</v>
      </c>
      <c r="E90" s="1538"/>
      <c r="F90" s="1538"/>
      <c r="G90" s="1538"/>
      <c r="H90" s="1539"/>
      <c r="I90" s="1539"/>
      <c r="J90" s="1538"/>
      <c r="K90" s="1540"/>
      <c r="L90" s="1538"/>
      <c r="M90" s="1538"/>
      <c r="N90" s="1538"/>
      <c r="O90" s="1538"/>
      <c r="P90" s="1538"/>
      <c r="Q90" s="1538"/>
      <c r="R90" s="1538"/>
      <c r="T90" s="1539"/>
      <c r="U90" s="1539"/>
    </row>
    <row r="91" spans="3:21" s="1478" customFormat="1" hidden="1">
      <c r="C91" s="1543">
        <v>911320</v>
      </c>
      <c r="D91" s="1504" t="s">
        <v>794</v>
      </c>
      <c r="E91" s="1538"/>
      <c r="F91" s="1538"/>
      <c r="G91" s="1538"/>
      <c r="H91" s="1539"/>
      <c r="I91" s="1539"/>
      <c r="J91" s="1538"/>
      <c r="K91" s="1540"/>
      <c r="L91" s="1538"/>
      <c r="M91" s="1538"/>
      <c r="N91" s="1538"/>
      <c r="O91" s="1538"/>
      <c r="P91" s="1538"/>
      <c r="Q91" s="1538"/>
      <c r="R91" s="1538"/>
      <c r="T91" s="1539"/>
      <c r="U91" s="1539"/>
    </row>
    <row r="92" spans="3:21" s="1478" customFormat="1" hidden="1">
      <c r="C92" s="1544">
        <f>C90/C91</f>
        <v>0.14101523065443533</v>
      </c>
      <c r="D92" s="1504" t="s">
        <v>795</v>
      </c>
      <c r="E92" s="1538"/>
      <c r="F92" s="1538"/>
      <c r="G92" s="1538"/>
      <c r="H92" s="1539"/>
      <c r="I92" s="1539"/>
      <c r="J92" s="1538"/>
      <c r="K92" s="1540"/>
      <c r="L92" s="1538"/>
      <c r="M92" s="1538"/>
      <c r="N92" s="1538"/>
      <c r="O92" s="1538"/>
      <c r="P92" s="1538"/>
      <c r="Q92" s="1538"/>
      <c r="R92" s="1538"/>
      <c r="T92" s="1539"/>
      <c r="U92" s="1539"/>
    </row>
    <row r="93" spans="3:21" s="1478" customFormat="1" hidden="1">
      <c r="C93" s="1543"/>
      <c r="D93" s="1504"/>
      <c r="E93" s="1538"/>
      <c r="F93" s="1538"/>
      <c r="G93" s="1538"/>
      <c r="H93" s="1539"/>
      <c r="I93" s="1539"/>
      <c r="J93" s="1538"/>
      <c r="K93" s="1540"/>
      <c r="L93" s="1538"/>
      <c r="M93" s="1538"/>
      <c r="N93" s="1538"/>
      <c r="O93" s="1538"/>
      <c r="P93" s="1538"/>
      <c r="Q93" s="1538"/>
      <c r="R93" s="1538"/>
      <c r="T93" s="1539"/>
      <c r="U93" s="1539"/>
    </row>
    <row r="94" spans="3:21" s="1478" customFormat="1" hidden="1">
      <c r="C94" s="1545">
        <v>2663489616</v>
      </c>
      <c r="D94" s="1546" t="s">
        <v>796</v>
      </c>
      <c r="E94" s="1538"/>
      <c r="F94" s="1538"/>
      <c r="G94" s="1538"/>
      <c r="H94" s="1539"/>
      <c r="I94" s="1539"/>
      <c r="J94" s="1538"/>
      <c r="K94" s="1540"/>
      <c r="L94" s="1538"/>
      <c r="M94" s="1538"/>
      <c r="N94" s="1538"/>
      <c r="O94" s="1538"/>
      <c r="P94" s="1538"/>
      <c r="Q94" s="1538"/>
      <c r="R94" s="1538"/>
      <c r="T94" s="1539"/>
      <c r="U94" s="1539"/>
    </row>
    <row r="95" spans="3:21" s="1478" customFormat="1" hidden="1">
      <c r="C95" s="1547">
        <f>C92</f>
        <v>0.14101523065443533</v>
      </c>
      <c r="D95" s="1546"/>
      <c r="E95" s="1538"/>
      <c r="F95" s="1538"/>
      <c r="G95" s="1538"/>
      <c r="H95" s="1539"/>
      <c r="I95" s="1539"/>
      <c r="J95" s="1538"/>
      <c r="K95" s="1540"/>
      <c r="L95" s="1538"/>
      <c r="M95" s="1538"/>
      <c r="N95" s="1538"/>
      <c r="O95" s="1538"/>
      <c r="P95" s="1538"/>
      <c r="Q95" s="1538"/>
      <c r="R95" s="1538"/>
      <c r="T95" s="1539"/>
      <c r="U95" s="1539"/>
    </row>
    <row r="96" spans="3:21" s="1478" customFormat="1" hidden="1">
      <c r="C96" s="1548">
        <f>C94*C95</f>
        <v>375592602.54593337</v>
      </c>
      <c r="D96" s="1504" t="s">
        <v>797</v>
      </c>
      <c r="E96" s="1538"/>
      <c r="F96" s="1538"/>
      <c r="G96" s="1538"/>
      <c r="H96" s="1539"/>
      <c r="I96" s="1539"/>
      <c r="J96" s="1538"/>
      <c r="K96" s="1540"/>
      <c r="L96" s="1538"/>
      <c r="M96" s="1538"/>
      <c r="N96" s="1538"/>
      <c r="O96" s="1538"/>
      <c r="P96" s="1538"/>
      <c r="Q96" s="1538"/>
      <c r="R96" s="1538"/>
      <c r="T96" s="1539"/>
      <c r="U96" s="1539"/>
    </row>
    <row r="97" spans="3:21" s="1478" customFormat="1" hidden="1">
      <c r="C97" s="1549">
        <f>50%/C92</f>
        <v>3.5457162866702978</v>
      </c>
      <c r="D97" s="1546" t="s">
        <v>798</v>
      </c>
      <c r="E97" s="1538"/>
      <c r="F97" s="1538"/>
      <c r="G97" s="1538"/>
      <c r="H97" s="1539"/>
      <c r="I97" s="1539"/>
      <c r="J97" s="1538"/>
      <c r="K97" s="1540"/>
      <c r="L97" s="1538"/>
      <c r="M97" s="1538"/>
      <c r="N97" s="1538"/>
      <c r="O97" s="1538"/>
      <c r="P97" s="1538"/>
      <c r="Q97" s="1538"/>
      <c r="R97" s="1538"/>
      <c r="T97" s="1539"/>
      <c r="U97" s="1539"/>
    </row>
    <row r="98" spans="3:21" s="1478" customFormat="1" hidden="1">
      <c r="C98" s="1548">
        <f>C96*C97</f>
        <v>1331744808</v>
      </c>
      <c r="D98" s="1550" t="s">
        <v>799</v>
      </c>
      <c r="E98" s="1538"/>
      <c r="F98" s="1538"/>
      <c r="G98" s="1538"/>
      <c r="H98" s="1539"/>
      <c r="I98" s="1539"/>
      <c r="J98" s="1538"/>
      <c r="K98" s="1540"/>
      <c r="L98" s="1538"/>
      <c r="M98" s="1538"/>
      <c r="N98" s="1538"/>
      <c r="O98" s="1538"/>
      <c r="P98" s="1538"/>
      <c r="Q98" s="1538"/>
      <c r="R98" s="1538"/>
      <c r="T98" s="1539"/>
      <c r="U98" s="1539"/>
    </row>
    <row r="99" spans="3:21" s="1478" customFormat="1" hidden="1">
      <c r="C99" s="1551">
        <f>C87</f>
        <v>650290</v>
      </c>
      <c r="D99" s="1546" t="s">
        <v>800</v>
      </c>
      <c r="E99" s="1538"/>
      <c r="F99" s="1538"/>
      <c r="G99" s="1538"/>
      <c r="H99" s="1539"/>
      <c r="I99" s="1539"/>
      <c r="J99" s="1538"/>
      <c r="K99" s="1540"/>
      <c r="L99" s="1538"/>
      <c r="M99" s="1538"/>
      <c r="N99" s="1538"/>
      <c r="O99" s="1538"/>
      <c r="P99" s="1538"/>
      <c r="Q99" s="1538"/>
      <c r="R99" s="1538"/>
      <c r="T99" s="1539"/>
      <c r="U99" s="1539"/>
    </row>
    <row r="100" spans="3:21" s="1478" customFormat="1" hidden="1">
      <c r="C100" s="1548">
        <f>C98/C99</f>
        <v>2047.9244767719017</v>
      </c>
      <c r="D100" s="1546" t="s">
        <v>801</v>
      </c>
      <c r="E100" s="1538"/>
      <c r="F100" s="1538"/>
      <c r="G100" s="1538"/>
      <c r="H100" s="1539"/>
      <c r="I100" s="1539"/>
      <c r="J100" s="1538"/>
      <c r="K100" s="1540"/>
      <c r="L100" s="1538"/>
      <c r="M100" s="1538"/>
      <c r="N100" s="1538"/>
      <c r="O100" s="1538"/>
      <c r="P100" s="1538"/>
      <c r="Q100" s="1538"/>
      <c r="R100" s="1538"/>
      <c r="T100" s="1539"/>
      <c r="U100" s="1539"/>
    </row>
    <row r="101" spans="3:21" s="1478" customFormat="1" hidden="1">
      <c r="C101" s="1552">
        <f>(C96/C99)*-1</f>
        <v>-577.57708490970697</v>
      </c>
      <c r="D101" s="1546" t="s">
        <v>802</v>
      </c>
      <c r="E101" s="1538"/>
      <c r="F101" s="1538"/>
      <c r="G101" s="1538"/>
      <c r="H101" s="1539"/>
      <c r="I101" s="1539"/>
      <c r="J101" s="1538"/>
      <c r="K101" s="1540"/>
      <c r="L101" s="1538"/>
      <c r="M101" s="1538"/>
      <c r="N101" s="1538"/>
      <c r="O101" s="1538"/>
      <c r="P101" s="1538"/>
      <c r="Q101" s="1538"/>
      <c r="R101" s="1538"/>
      <c r="T101" s="1539"/>
      <c r="U101" s="1539"/>
    </row>
    <row r="102" spans="3:21" s="1478" customFormat="1" hidden="1">
      <c r="C102" s="1553">
        <f>SUM(C100:C101)</f>
        <v>1470.3473918621949</v>
      </c>
      <c r="D102" s="1546" t="s">
        <v>803</v>
      </c>
      <c r="E102" s="1538"/>
      <c r="F102" s="1538"/>
      <c r="G102" s="1538"/>
      <c r="H102" s="1539"/>
      <c r="I102" s="1539"/>
      <c r="J102" s="1538"/>
      <c r="K102" s="1540"/>
      <c r="L102" s="1538"/>
      <c r="M102" s="1538"/>
      <c r="N102" s="1538"/>
      <c r="O102" s="1538"/>
      <c r="P102" s="1538"/>
      <c r="Q102" s="1538"/>
      <c r="R102" s="1538"/>
      <c r="T102" s="1539"/>
      <c r="U102" s="1539"/>
    </row>
    <row r="103" spans="3:21">
      <c r="C103" s="1046"/>
      <c r="D103" s="1045"/>
    </row>
    <row r="104" spans="3:21">
      <c r="C104" s="1046"/>
      <c r="D104" s="1045"/>
    </row>
    <row r="105" spans="3:21">
      <c r="D105" s="1045"/>
    </row>
  </sheetData>
  <mergeCells count="23">
    <mergeCell ref="V2:V4"/>
    <mergeCell ref="C3:C4"/>
    <mergeCell ref="D3:D4"/>
    <mergeCell ref="G3:G4"/>
    <mergeCell ref="H3:H4"/>
    <mergeCell ref="I3:I4"/>
    <mergeCell ref="O3:O4"/>
    <mergeCell ref="A2:B4"/>
    <mergeCell ref="C2:J2"/>
    <mergeCell ref="K2:R2"/>
    <mergeCell ref="S2:S4"/>
    <mergeCell ref="J3:J4"/>
    <mergeCell ref="K3:K4"/>
    <mergeCell ref="L3:L4"/>
    <mergeCell ref="M3:M4"/>
    <mergeCell ref="N3:N4"/>
    <mergeCell ref="U20:U22"/>
    <mergeCell ref="P3:P4"/>
    <mergeCell ref="Q3:Q4"/>
    <mergeCell ref="R3:R4"/>
    <mergeCell ref="U9:U10"/>
    <mergeCell ref="U12:U14"/>
    <mergeCell ref="U16:U18"/>
  </mergeCells>
  <printOptions horizontalCentered="1"/>
  <pageMargins left="0.27" right="0.25" top="0.87" bottom="0.2" header="0.25" footer="0.2"/>
  <pageSetup paperSize="5" scale="62" firstPageNumber="32" fitToWidth="3" orientation="portrait" useFirstPageNumber="1" r:id="rId1"/>
  <headerFooter alignWithMargins="0">
    <oddHeader xml:space="preserve">&amp;L&amp;"Arial,Bold"&amp;16Table 5E:  FY2011-12 MFP Budget Letter &amp;"Arial,Regular"&amp;10
&amp;"Arial,Bold"&amp;14Office of Juvenile Justice (Based on Preliminary Data) (July 2011)&amp;R&amp;"Arial,Bold"&amp;12&amp;KFF0000
</oddHeader>
    <oddFooter>&amp;R&amp;9&amp;P</oddFooter>
  </headerFooter>
  <colBreaks count="2" manualBreakCount="2">
    <brk id="10" min="1" max="75" man="1"/>
    <brk id="18" min="1" max="75" man="1"/>
  </colBreaks>
</worksheet>
</file>

<file path=xl/worksheets/sheet16.xml><?xml version="1.0" encoding="utf-8"?>
<worksheet xmlns="http://schemas.openxmlformats.org/spreadsheetml/2006/main" xmlns:r="http://schemas.openxmlformats.org/officeDocument/2006/relationships">
  <dimension ref="A1:M84"/>
  <sheetViews>
    <sheetView view="pageBreakPreview" zoomScale="75" zoomScaleNormal="85" zoomScaleSheetLayoutView="75" workbookViewId="0">
      <pane xSplit="2" ySplit="7" topLeftCell="C8" activePane="bottomRight" state="frozen"/>
      <selection pane="topRight"/>
      <selection pane="bottomLeft"/>
      <selection pane="bottomRight" activeCell="A79" sqref="A79:XFD82"/>
    </sheetView>
  </sheetViews>
  <sheetFormatPr defaultRowHeight="12.75"/>
  <cols>
    <col min="1" max="1" width="4.7109375" customWidth="1"/>
    <col min="2" max="2" width="18.5703125" customWidth="1"/>
    <col min="3" max="3" width="18.42578125" customWidth="1"/>
    <col min="4" max="4" width="17.7109375" customWidth="1"/>
    <col min="5" max="5" width="19.42578125" customWidth="1"/>
    <col min="6" max="6" width="17" customWidth="1"/>
    <col min="7" max="7" width="18.7109375" customWidth="1"/>
    <col min="8" max="8" width="15.42578125" customWidth="1"/>
    <col min="9" max="9" width="14.42578125" customWidth="1"/>
    <col min="10" max="10" width="16" customWidth="1"/>
    <col min="11" max="11" width="13.7109375" customWidth="1"/>
    <col min="13" max="13" width="12.7109375" customWidth="1"/>
  </cols>
  <sheetData>
    <row r="1" spans="1:10" ht="46.5" customHeight="1">
      <c r="B1" s="1047" t="s">
        <v>804</v>
      </c>
      <c r="C1" s="1048"/>
      <c r="D1" s="1048"/>
      <c r="E1" s="1049"/>
      <c r="F1" s="1049"/>
      <c r="G1" s="1049"/>
      <c r="H1" s="1049"/>
      <c r="I1" s="1049"/>
      <c r="J1" s="1049"/>
    </row>
    <row r="2" spans="1:10" ht="15" customHeight="1">
      <c r="A2" s="1050"/>
      <c r="B2" s="1050"/>
      <c r="C2" s="250"/>
      <c r="D2" s="250"/>
      <c r="E2" s="250"/>
      <c r="F2" s="250"/>
      <c r="G2" s="250"/>
      <c r="H2" s="250"/>
      <c r="I2" s="250"/>
      <c r="J2" s="250"/>
    </row>
    <row r="3" spans="1:10" ht="40.5" hidden="1" customHeight="1">
      <c r="A3" s="1050"/>
      <c r="C3" s="1051"/>
      <c r="D3" s="1051"/>
      <c r="E3" s="1051" t="s">
        <v>805</v>
      </c>
      <c r="F3" s="1051"/>
      <c r="G3" s="1051"/>
      <c r="H3" s="1051" t="s">
        <v>806</v>
      </c>
      <c r="I3" s="1051"/>
      <c r="J3" s="1051"/>
    </row>
    <row r="4" spans="1:10" ht="45" customHeight="1">
      <c r="A4" s="1655" t="s">
        <v>157</v>
      </c>
      <c r="B4" s="1655" t="s">
        <v>807</v>
      </c>
      <c r="C4" s="1860" t="s">
        <v>808</v>
      </c>
      <c r="D4" s="1861"/>
      <c r="E4" s="1862"/>
      <c r="F4" s="1860" t="s">
        <v>809</v>
      </c>
      <c r="G4" s="1861"/>
      <c r="H4" s="1861"/>
      <c r="I4" s="1861"/>
      <c r="J4" s="1862"/>
    </row>
    <row r="5" spans="1:10" ht="51.75" customHeight="1">
      <c r="A5" s="1858"/>
      <c r="B5" s="1858"/>
      <c r="C5" s="1761" t="s">
        <v>810</v>
      </c>
      <c r="D5" s="1761" t="s">
        <v>811</v>
      </c>
      <c r="E5" s="497" t="s">
        <v>812</v>
      </c>
      <c r="F5" s="1761" t="s">
        <v>813</v>
      </c>
      <c r="G5" s="1761" t="s">
        <v>814</v>
      </c>
      <c r="H5" s="497" t="s">
        <v>815</v>
      </c>
      <c r="I5" s="1761" t="s">
        <v>816</v>
      </c>
      <c r="J5" s="1761" t="s">
        <v>817</v>
      </c>
    </row>
    <row r="6" spans="1:10" ht="15.75" customHeight="1">
      <c r="A6" s="1859"/>
      <c r="B6" s="1859"/>
      <c r="C6" s="1761"/>
      <c r="D6" s="1761"/>
      <c r="E6" s="1052">
        <f>40.5*43.85%</f>
        <v>17.759250000000002</v>
      </c>
      <c r="F6" s="1761"/>
      <c r="G6" s="1761"/>
      <c r="H6" s="1053">
        <f>0.0198*43.85%</f>
        <v>8.6823000000000004E-3</v>
      </c>
      <c r="I6" s="1761"/>
      <c r="J6" s="1761"/>
    </row>
    <row r="7" spans="1:10">
      <c r="A7" s="1054"/>
      <c r="B7" s="1054"/>
      <c r="C7" s="369">
        <v>1</v>
      </c>
      <c r="D7" s="368">
        <f t="shared" ref="D7:J7" si="0">1+C7</f>
        <v>2</v>
      </c>
      <c r="E7" s="368">
        <f t="shared" si="0"/>
        <v>3</v>
      </c>
      <c r="F7" s="368">
        <f t="shared" si="0"/>
        <v>4</v>
      </c>
      <c r="G7" s="368">
        <f t="shared" si="0"/>
        <v>5</v>
      </c>
      <c r="H7" s="368">
        <f t="shared" si="0"/>
        <v>6</v>
      </c>
      <c r="I7" s="1055">
        <f t="shared" si="0"/>
        <v>7</v>
      </c>
      <c r="J7" s="368">
        <f t="shared" si="0"/>
        <v>8</v>
      </c>
    </row>
    <row r="8" spans="1:10" ht="1.5" customHeight="1">
      <c r="A8" s="1056"/>
      <c r="B8" s="1057"/>
      <c r="C8" s="1058"/>
      <c r="D8" s="1059"/>
      <c r="E8" s="718"/>
      <c r="F8" s="1060"/>
      <c r="G8" s="1059"/>
      <c r="I8" s="718"/>
      <c r="J8" s="1061"/>
    </row>
    <row r="9" spans="1:10">
      <c r="A9" s="1062">
        <v>1</v>
      </c>
      <c r="B9" s="381" t="s">
        <v>179</v>
      </c>
      <c r="C9" s="390">
        <f>'Table 7 Local Revenue'!AE8</f>
        <v>8485266</v>
      </c>
      <c r="D9" s="390">
        <f>'Table 7 Local Revenue'!H8</f>
        <v>269468135</v>
      </c>
      <c r="E9" s="390">
        <f t="shared" ref="E9:E72" si="1">ROUND(D9*$E$6/1000,0)</f>
        <v>4785552</v>
      </c>
      <c r="F9" s="389">
        <f>'Table 7 Local Revenue'!AI8</f>
        <v>10130976</v>
      </c>
      <c r="G9" s="390">
        <f>'Table 7 Local Revenue'!AM8</f>
        <v>675398400</v>
      </c>
      <c r="H9" s="390">
        <f t="shared" ref="H9:H72" si="2">ROUND(G9*$H$6,0)</f>
        <v>5864012</v>
      </c>
      <c r="I9" s="1063">
        <f>'Table 7 Local Revenue'!AP8</f>
        <v>431161</v>
      </c>
      <c r="J9" s="390">
        <f t="shared" ref="J9:J72" si="3">E9+H9+I9</f>
        <v>11080725</v>
      </c>
    </row>
    <row r="10" spans="1:10">
      <c r="A10" s="1062">
        <v>2</v>
      </c>
      <c r="B10" s="381" t="s">
        <v>180</v>
      </c>
      <c r="C10" s="390">
        <f>'Table 7 Local Revenue'!AE9</f>
        <v>3552388</v>
      </c>
      <c r="D10" s="390">
        <f>'Table 7 Local Revenue'!H9</f>
        <v>75199728</v>
      </c>
      <c r="E10" s="390">
        <f t="shared" si="1"/>
        <v>1335491</v>
      </c>
      <c r="F10" s="389">
        <f>'Table 7 Local Revenue'!AI9</f>
        <v>6257477</v>
      </c>
      <c r="G10" s="390">
        <f>'Table 7 Local Revenue'!AM9</f>
        <v>208582567</v>
      </c>
      <c r="H10" s="390">
        <f t="shared" si="2"/>
        <v>1810976</v>
      </c>
      <c r="I10" s="1063">
        <f>'Table 7 Local Revenue'!AP9</f>
        <v>103254.5</v>
      </c>
      <c r="J10" s="390">
        <f t="shared" si="3"/>
        <v>3249721.5</v>
      </c>
    </row>
    <row r="11" spans="1:10">
      <c r="A11" s="1062">
        <v>3</v>
      </c>
      <c r="B11" s="381" t="s">
        <v>181</v>
      </c>
      <c r="C11" s="390">
        <f>'Table 7 Local Revenue'!AE10</f>
        <v>50685048</v>
      </c>
      <c r="D11" s="390">
        <f>'Table 7 Local Revenue'!H10</f>
        <v>827139640</v>
      </c>
      <c r="E11" s="390">
        <f t="shared" si="1"/>
        <v>14689380</v>
      </c>
      <c r="F11" s="389">
        <f>'Table 7 Local Revenue'!AI10</f>
        <v>44806511</v>
      </c>
      <c r="G11" s="390">
        <f>'Table 7 Local Revenue'!AM10</f>
        <v>2240325550</v>
      </c>
      <c r="H11" s="390">
        <f t="shared" si="2"/>
        <v>19451179</v>
      </c>
      <c r="I11" s="1063">
        <f>'Table 7 Local Revenue'!AP10</f>
        <v>190231</v>
      </c>
      <c r="J11" s="390">
        <f t="shared" si="3"/>
        <v>34330790</v>
      </c>
    </row>
    <row r="12" spans="1:10">
      <c r="A12" s="1062">
        <v>4</v>
      </c>
      <c r="B12" s="381" t="s">
        <v>182</v>
      </c>
      <c r="C12" s="390">
        <f>'Table 7 Local Revenue'!AE11</f>
        <v>4806213</v>
      </c>
      <c r="D12" s="390">
        <f>'Table 7 Local Revenue'!H11</f>
        <v>122491823</v>
      </c>
      <c r="E12" s="390">
        <f t="shared" si="1"/>
        <v>2175363</v>
      </c>
      <c r="F12" s="389">
        <f>'Table 7 Local Revenue'!AI11</f>
        <v>5269388</v>
      </c>
      <c r="G12" s="390">
        <f>'Table 7 Local Revenue'!AM11</f>
        <v>175646267</v>
      </c>
      <c r="H12" s="390">
        <f t="shared" si="2"/>
        <v>1525014</v>
      </c>
      <c r="I12" s="1063">
        <f>'Table 7 Local Revenue'!AP11</f>
        <v>117116.5</v>
      </c>
      <c r="J12" s="390">
        <f t="shared" si="3"/>
        <v>3817493.5</v>
      </c>
    </row>
    <row r="13" spans="1:10">
      <c r="A13" s="1064">
        <v>5</v>
      </c>
      <c r="B13" s="400" t="s">
        <v>183</v>
      </c>
      <c r="C13" s="409">
        <f>'Table 7 Local Revenue'!AE12</f>
        <v>1336353</v>
      </c>
      <c r="D13" s="409">
        <f>'Table 7 Local Revenue'!H12</f>
        <v>94593732</v>
      </c>
      <c r="E13" s="409">
        <f t="shared" si="1"/>
        <v>1679914</v>
      </c>
      <c r="F13" s="408">
        <f>'Table 7 Local Revenue'!AI12</f>
        <v>5699274</v>
      </c>
      <c r="G13" s="409">
        <f>'Table 7 Local Revenue'!AM12</f>
        <v>379951600</v>
      </c>
      <c r="H13" s="409">
        <f t="shared" si="2"/>
        <v>3298854</v>
      </c>
      <c r="I13" s="1065">
        <f>'Table 7 Local Revenue'!AP12</f>
        <v>259151.5</v>
      </c>
      <c r="J13" s="409">
        <f t="shared" si="3"/>
        <v>5237919.5</v>
      </c>
    </row>
    <row r="14" spans="1:10">
      <c r="A14" s="1062">
        <v>6</v>
      </c>
      <c r="B14" s="381" t="s">
        <v>184</v>
      </c>
      <c r="C14" s="390">
        <f>'Table 7 Local Revenue'!AE13</f>
        <v>9423134</v>
      </c>
      <c r="D14" s="390">
        <f>'Table 7 Local Revenue'!H13</f>
        <v>190627590</v>
      </c>
      <c r="E14" s="390">
        <f t="shared" si="1"/>
        <v>3385403</v>
      </c>
      <c r="F14" s="389">
        <f>'Table 7 Local Revenue'!AI13</f>
        <v>8277002</v>
      </c>
      <c r="G14" s="390">
        <f>'Table 7 Local Revenue'!AM13</f>
        <v>413850100</v>
      </c>
      <c r="H14" s="390">
        <f t="shared" si="2"/>
        <v>3593171</v>
      </c>
      <c r="I14" s="1063">
        <f>'Table 7 Local Revenue'!AP13</f>
        <v>13</v>
      </c>
      <c r="J14" s="390">
        <f t="shared" si="3"/>
        <v>6978587</v>
      </c>
    </row>
    <row r="15" spans="1:10">
      <c r="A15" s="1062">
        <v>7</v>
      </c>
      <c r="B15" s="381" t="s">
        <v>185</v>
      </c>
      <c r="C15" s="390">
        <f>'Table 7 Local Revenue'!AE14</f>
        <v>16505461</v>
      </c>
      <c r="D15" s="390">
        <f>'Table 7 Local Revenue'!H14</f>
        <v>303086137</v>
      </c>
      <c r="E15" s="390">
        <f t="shared" si="1"/>
        <v>5382582</v>
      </c>
      <c r="F15" s="389">
        <f>'Table 7 Local Revenue'!AI14</f>
        <v>11861307</v>
      </c>
      <c r="G15" s="390">
        <f>'Table 7 Local Revenue'!AM14</f>
        <v>476015129.99999994</v>
      </c>
      <c r="H15" s="390">
        <f t="shared" si="2"/>
        <v>4132906</v>
      </c>
      <c r="I15" s="1063">
        <f>'Table 7 Local Revenue'!AP14</f>
        <v>142178</v>
      </c>
      <c r="J15" s="390">
        <f t="shared" si="3"/>
        <v>9657666</v>
      </c>
    </row>
    <row r="16" spans="1:10">
      <c r="A16" s="1062">
        <v>8</v>
      </c>
      <c r="B16" s="381" t="s">
        <v>186</v>
      </c>
      <c r="C16" s="390">
        <f>'Table 7 Local Revenue'!AE15</f>
        <v>40318900</v>
      </c>
      <c r="D16" s="390">
        <f>'Table 7 Local Revenue'!H15</f>
        <v>800572176.80000007</v>
      </c>
      <c r="E16" s="390">
        <f t="shared" si="1"/>
        <v>14217561</v>
      </c>
      <c r="F16" s="389">
        <f>'Table 7 Local Revenue'!AI15</f>
        <v>44443526</v>
      </c>
      <c r="G16" s="390">
        <f>'Table 7 Local Revenue'!AM15</f>
        <v>2539630057</v>
      </c>
      <c r="H16" s="390">
        <f t="shared" si="2"/>
        <v>22049830</v>
      </c>
      <c r="I16" s="1063">
        <f>'Table 7 Local Revenue'!AP15</f>
        <v>624830.5</v>
      </c>
      <c r="J16" s="390">
        <f t="shared" si="3"/>
        <v>36892221.5</v>
      </c>
    </row>
    <row r="17" spans="1:13">
      <c r="A17" s="1062">
        <v>9</v>
      </c>
      <c r="B17" s="381" t="s">
        <v>77</v>
      </c>
      <c r="C17" s="390">
        <f>'Table 7 Local Revenue'!AE16</f>
        <v>106251795</v>
      </c>
      <c r="D17" s="390">
        <f>'Table 7 Local Revenue'!H16</f>
        <v>1400328760</v>
      </c>
      <c r="E17" s="390">
        <f t="shared" si="1"/>
        <v>24868789</v>
      </c>
      <c r="F17" s="389">
        <f>'Table 7 Local Revenue'!AI16</f>
        <v>74861727</v>
      </c>
      <c r="G17" s="390">
        <f>'Table 7 Local Revenue'!AM16</f>
        <v>4990781800</v>
      </c>
      <c r="H17" s="390">
        <f t="shared" si="2"/>
        <v>43331465</v>
      </c>
      <c r="I17" s="1063">
        <f>'Table 7 Local Revenue'!AP16</f>
        <v>2590018</v>
      </c>
      <c r="J17" s="390">
        <f t="shared" si="3"/>
        <v>70790272</v>
      </c>
    </row>
    <row r="18" spans="1:13">
      <c r="A18" s="1064">
        <v>10</v>
      </c>
      <c r="B18" s="400" t="s">
        <v>187</v>
      </c>
      <c r="C18" s="409">
        <f>'Table 7 Local Revenue'!AE17</f>
        <v>47785859</v>
      </c>
      <c r="D18" s="409">
        <f>'Table 7 Local Revenue'!H17</f>
        <v>1428229699</v>
      </c>
      <c r="E18" s="409">
        <f t="shared" si="1"/>
        <v>25364288</v>
      </c>
      <c r="F18" s="408">
        <f>'Table 7 Local Revenue'!AI17</f>
        <v>80964276</v>
      </c>
      <c r="G18" s="409">
        <f>'Table 7 Local Revenue'!AM17</f>
        <v>4048213800</v>
      </c>
      <c r="H18" s="409">
        <f t="shared" si="2"/>
        <v>35147807</v>
      </c>
      <c r="I18" s="1065">
        <f>'Table 7 Local Revenue'!AP17</f>
        <v>998095</v>
      </c>
      <c r="J18" s="409">
        <f t="shared" si="3"/>
        <v>61510190</v>
      </c>
      <c r="K18" s="4"/>
      <c r="L18" s="4"/>
      <c r="M18" s="4"/>
    </row>
    <row r="19" spans="1:13" ht="12" customHeight="1">
      <c r="A19" s="1062">
        <v>11</v>
      </c>
      <c r="B19" s="381" t="s">
        <v>188</v>
      </c>
      <c r="C19" s="390">
        <f>'Table 7 Local Revenue'!AE18</f>
        <v>2594614</v>
      </c>
      <c r="D19" s="390">
        <f>'Table 7 Local Revenue'!H18</f>
        <v>37089620</v>
      </c>
      <c r="E19" s="390">
        <f t="shared" si="1"/>
        <v>658684</v>
      </c>
      <c r="F19" s="389">
        <f>'Table 7 Local Revenue'!AI18</f>
        <v>2870011</v>
      </c>
      <c r="G19" s="390">
        <f>'Table 7 Local Revenue'!AM18</f>
        <v>103863054.99999999</v>
      </c>
      <c r="H19" s="390">
        <f t="shared" si="2"/>
        <v>901770</v>
      </c>
      <c r="I19" s="1063">
        <f>'Table 7 Local Revenue'!AP18</f>
        <v>88614</v>
      </c>
      <c r="J19" s="390">
        <f t="shared" si="3"/>
        <v>1649068</v>
      </c>
      <c r="K19" s="4"/>
      <c r="L19" s="4"/>
      <c r="M19" s="4"/>
    </row>
    <row r="20" spans="1:13">
      <c r="A20" s="1062">
        <v>12</v>
      </c>
      <c r="B20" s="381" t="s">
        <v>189</v>
      </c>
      <c r="C20" s="390">
        <f>'Table 7 Local Revenue'!AE19</f>
        <v>12385176</v>
      </c>
      <c r="D20" s="390">
        <f>'Table 7 Local Revenue'!H19</f>
        <v>237354901</v>
      </c>
      <c r="E20" s="390">
        <f t="shared" si="1"/>
        <v>4215245</v>
      </c>
      <c r="F20" s="389">
        <f>'Table 7 Local Revenue'!AI19</f>
        <v>0</v>
      </c>
      <c r="G20" s="390">
        <f>'Table 7 Local Revenue'!AM19</f>
        <v>26253113</v>
      </c>
      <c r="H20" s="390">
        <f t="shared" si="2"/>
        <v>227937</v>
      </c>
      <c r="I20" s="1063">
        <f>'Table 7 Local Revenue'!AP19</f>
        <v>1121264.5</v>
      </c>
      <c r="J20" s="390">
        <f t="shared" si="3"/>
        <v>5564446.5</v>
      </c>
      <c r="K20" s="4"/>
      <c r="L20" s="4"/>
      <c r="M20" s="4"/>
    </row>
    <row r="21" spans="1:13">
      <c r="A21" s="1062">
        <v>13</v>
      </c>
      <c r="B21" s="381" t="s">
        <v>190</v>
      </c>
      <c r="C21" s="390">
        <f>'Table 7 Local Revenue'!AE20</f>
        <v>872089</v>
      </c>
      <c r="D21" s="390">
        <f>'Table 7 Local Revenue'!H20</f>
        <v>35207729</v>
      </c>
      <c r="E21" s="390">
        <f t="shared" si="1"/>
        <v>625263</v>
      </c>
      <c r="F21" s="389">
        <f>'Table 7 Local Revenue'!AI20</f>
        <v>2449734</v>
      </c>
      <c r="G21" s="390">
        <f>'Table 7 Local Revenue'!AM20</f>
        <v>81657800</v>
      </c>
      <c r="H21" s="390">
        <f t="shared" si="2"/>
        <v>708978</v>
      </c>
      <c r="I21" s="1063">
        <f>'Table 7 Local Revenue'!AP20</f>
        <v>99646.5</v>
      </c>
      <c r="J21" s="390">
        <f t="shared" si="3"/>
        <v>1433887.5</v>
      </c>
      <c r="K21" s="4"/>
      <c r="L21" s="4"/>
      <c r="M21" s="4"/>
    </row>
    <row r="22" spans="1:13">
      <c r="A22" s="1062">
        <v>14</v>
      </c>
      <c r="B22" s="381" t="s">
        <v>191</v>
      </c>
      <c r="C22" s="390">
        <f>'Table 7 Local Revenue'!AE21</f>
        <v>5158338</v>
      </c>
      <c r="D22" s="390">
        <f>'Table 7 Local Revenue'!H21</f>
        <v>116455478.7</v>
      </c>
      <c r="E22" s="390">
        <f t="shared" si="1"/>
        <v>2068162</v>
      </c>
      <c r="F22" s="389">
        <f>'Table 7 Local Revenue'!AI21</f>
        <v>2973467</v>
      </c>
      <c r="G22" s="390">
        <f>'Table 7 Local Revenue'!AM21</f>
        <v>148673350</v>
      </c>
      <c r="H22" s="390">
        <f t="shared" si="2"/>
        <v>1290827</v>
      </c>
      <c r="I22" s="1063">
        <f>'Table 7 Local Revenue'!AP21</f>
        <v>165508</v>
      </c>
      <c r="J22" s="390">
        <f t="shared" si="3"/>
        <v>3524497</v>
      </c>
      <c r="K22" s="4"/>
      <c r="L22" s="4"/>
      <c r="M22" s="4"/>
    </row>
    <row r="23" spans="1:13">
      <c r="A23" s="1064">
        <v>15</v>
      </c>
      <c r="B23" s="400" t="s">
        <v>192</v>
      </c>
      <c r="C23" s="409">
        <f>'Table 7 Local Revenue'!AE22</f>
        <v>4628475</v>
      </c>
      <c r="D23" s="409">
        <f>'Table 7 Local Revenue'!H22</f>
        <v>126261488</v>
      </c>
      <c r="E23" s="409">
        <f t="shared" si="1"/>
        <v>2242309</v>
      </c>
      <c r="F23" s="408">
        <f>'Table 7 Local Revenue'!AI22</f>
        <v>4347817</v>
      </c>
      <c r="G23" s="409">
        <f>'Table 7 Local Revenue'!AM22</f>
        <v>217390850</v>
      </c>
      <c r="H23" s="409">
        <f t="shared" si="2"/>
        <v>1887453</v>
      </c>
      <c r="I23" s="1065">
        <f>'Table 7 Local Revenue'!AP22</f>
        <v>190113</v>
      </c>
      <c r="J23" s="409">
        <f t="shared" si="3"/>
        <v>4319875</v>
      </c>
      <c r="K23" s="4"/>
      <c r="L23" s="4"/>
      <c r="M23" s="4"/>
    </row>
    <row r="24" spans="1:13">
      <c r="A24" s="1062">
        <v>16</v>
      </c>
      <c r="B24" s="381" t="s">
        <v>193</v>
      </c>
      <c r="C24" s="390">
        <f>'Table 7 Local Revenue'!AE23</f>
        <v>20401371</v>
      </c>
      <c r="D24" s="390">
        <f>'Table 7 Local Revenue'!H23</f>
        <v>320897552.80000001</v>
      </c>
      <c r="E24" s="390">
        <f t="shared" si="1"/>
        <v>5698900</v>
      </c>
      <c r="F24" s="389">
        <f>'Table 7 Local Revenue'!AI23</f>
        <v>54097912</v>
      </c>
      <c r="G24" s="390">
        <f>'Table 7 Local Revenue'!AM23</f>
        <v>1287138420</v>
      </c>
      <c r="H24" s="390">
        <f t="shared" si="2"/>
        <v>11175322</v>
      </c>
      <c r="I24" s="1063">
        <f>'Table 7 Local Revenue'!AP23</f>
        <v>3635567.5</v>
      </c>
      <c r="J24" s="390">
        <f t="shared" si="3"/>
        <v>20509789.5</v>
      </c>
      <c r="K24" s="4"/>
      <c r="L24" s="4"/>
      <c r="M24" s="4"/>
    </row>
    <row r="25" spans="1:13">
      <c r="A25" s="1062">
        <v>17</v>
      </c>
      <c r="B25" s="381" t="s">
        <v>75</v>
      </c>
      <c r="C25" s="390">
        <f>'Table 7 Local Revenue'!AE24</f>
        <v>127548536</v>
      </c>
      <c r="D25" s="390">
        <f>'Table 7 Local Revenue'!H24</f>
        <v>2974143180</v>
      </c>
      <c r="E25" s="390">
        <f t="shared" si="1"/>
        <v>52818552</v>
      </c>
      <c r="F25" s="389">
        <f>'Table 7 Local Revenue'!AI24</f>
        <v>148522401</v>
      </c>
      <c r="G25" s="390">
        <f>'Table 7 Local Revenue'!AM24</f>
        <v>7426120050</v>
      </c>
      <c r="H25" s="390">
        <f t="shared" si="2"/>
        <v>64475802</v>
      </c>
      <c r="I25" s="1063">
        <f>'Table 7 Local Revenue'!AP24</f>
        <v>4130207</v>
      </c>
      <c r="J25" s="390">
        <f t="shared" si="3"/>
        <v>121424561</v>
      </c>
    </row>
    <row r="26" spans="1:13">
      <c r="A26" s="1062">
        <v>18</v>
      </c>
      <c r="B26" s="381" t="s">
        <v>194</v>
      </c>
      <c r="C26" s="390">
        <f>'Table 7 Local Revenue'!AE25</f>
        <v>516736</v>
      </c>
      <c r="D26" s="390">
        <f>'Table 7 Local Revenue'!H25</f>
        <v>37145289</v>
      </c>
      <c r="E26" s="390">
        <f t="shared" si="1"/>
        <v>659672</v>
      </c>
      <c r="F26" s="389">
        <f>'Table 7 Local Revenue'!AI25</f>
        <v>1432897</v>
      </c>
      <c r="G26" s="390">
        <f>'Table 7 Local Revenue'!AM25</f>
        <v>47763233</v>
      </c>
      <c r="H26" s="390">
        <f t="shared" si="2"/>
        <v>414695</v>
      </c>
      <c r="I26" s="1063">
        <f>'Table 7 Local Revenue'!AP25</f>
        <v>131294</v>
      </c>
      <c r="J26" s="390">
        <f t="shared" si="3"/>
        <v>1205661</v>
      </c>
    </row>
    <row r="27" spans="1:13">
      <c r="A27" s="1062">
        <v>19</v>
      </c>
      <c r="B27" s="448" t="s">
        <v>195</v>
      </c>
      <c r="C27" s="390">
        <f>'Table 7 Local Revenue'!AE26</f>
        <v>1971271</v>
      </c>
      <c r="D27" s="390">
        <f>'Table 7 Local Revenue'!H26</f>
        <v>101289605</v>
      </c>
      <c r="E27" s="390">
        <f t="shared" si="1"/>
        <v>1798827</v>
      </c>
      <c r="F27" s="389">
        <f>'Table 7 Local Revenue'!AI26</f>
        <v>2176520</v>
      </c>
      <c r="G27" s="390">
        <f>'Table 7 Local Revenue'!AM26</f>
        <v>108826000</v>
      </c>
      <c r="H27" s="390">
        <f t="shared" si="2"/>
        <v>944860</v>
      </c>
      <c r="I27" s="1063">
        <f>'Table 7 Local Revenue'!AP26</f>
        <v>77952.5</v>
      </c>
      <c r="J27" s="390">
        <f t="shared" si="3"/>
        <v>2821639.5</v>
      </c>
    </row>
    <row r="28" spans="1:13">
      <c r="A28" s="1064">
        <v>20</v>
      </c>
      <c r="B28" s="400" t="s">
        <v>196</v>
      </c>
      <c r="C28" s="409">
        <f>'Table 7 Local Revenue'!AE27</f>
        <v>5024293</v>
      </c>
      <c r="D28" s="409">
        <f>'Table 7 Local Revenue'!H27</f>
        <v>155514960</v>
      </c>
      <c r="E28" s="409">
        <f t="shared" si="1"/>
        <v>2761829</v>
      </c>
      <c r="F28" s="408">
        <f>'Table 7 Local Revenue'!AI27</f>
        <v>7528821</v>
      </c>
      <c r="G28" s="409">
        <f>'Table 7 Local Revenue'!AM27</f>
        <v>376441050</v>
      </c>
      <c r="H28" s="409">
        <f t="shared" si="2"/>
        <v>3268374</v>
      </c>
      <c r="I28" s="1065">
        <f>'Table 7 Local Revenue'!AP27</f>
        <v>236850.5</v>
      </c>
      <c r="J28" s="409">
        <f t="shared" si="3"/>
        <v>6267053.5</v>
      </c>
    </row>
    <row r="29" spans="1:13">
      <c r="A29" s="1062">
        <v>21</v>
      </c>
      <c r="B29" s="381" t="s">
        <v>197</v>
      </c>
      <c r="C29" s="390">
        <f>'Table 7 Local Revenue'!AE28</f>
        <v>1301016</v>
      </c>
      <c r="D29" s="390">
        <f>'Table 7 Local Revenue'!H28</f>
        <v>56190152</v>
      </c>
      <c r="E29" s="390">
        <f t="shared" si="1"/>
        <v>997895</v>
      </c>
      <c r="F29" s="389">
        <f>'Table 7 Local Revenue'!AI28</f>
        <v>4704611</v>
      </c>
      <c r="G29" s="390">
        <f>'Table 7 Local Revenue'!AM28</f>
        <v>235230550</v>
      </c>
      <c r="H29" s="390">
        <f t="shared" si="2"/>
        <v>2042342</v>
      </c>
      <c r="I29" s="1063">
        <f>'Table 7 Local Revenue'!AP28</f>
        <v>76190</v>
      </c>
      <c r="J29" s="390">
        <f t="shared" si="3"/>
        <v>3116427</v>
      </c>
    </row>
    <row r="30" spans="1:13">
      <c r="A30" s="1062">
        <v>22</v>
      </c>
      <c r="B30" s="381" t="s">
        <v>198</v>
      </c>
      <c r="C30" s="390">
        <f>'Table 7 Local Revenue'!AE29</f>
        <v>2742167</v>
      </c>
      <c r="D30" s="390">
        <f>'Table 7 Local Revenue'!H29</f>
        <v>37074652</v>
      </c>
      <c r="E30" s="390">
        <f t="shared" si="1"/>
        <v>658418</v>
      </c>
      <c r="F30" s="389">
        <f>'Table 7 Local Revenue'!AI29</f>
        <v>1835578</v>
      </c>
      <c r="G30" s="390">
        <f>'Table 7 Local Revenue'!AM29</f>
        <v>91778900</v>
      </c>
      <c r="H30" s="390">
        <f t="shared" si="2"/>
        <v>796852</v>
      </c>
      <c r="I30" s="1063">
        <f>'Table 7 Local Revenue'!AP29</f>
        <v>435003</v>
      </c>
      <c r="J30" s="390">
        <f t="shared" si="3"/>
        <v>1890273</v>
      </c>
    </row>
    <row r="31" spans="1:13">
      <c r="A31" s="1062">
        <v>23</v>
      </c>
      <c r="B31" s="381" t="s">
        <v>199</v>
      </c>
      <c r="C31" s="390">
        <f>'Table 7 Local Revenue'!AE30</f>
        <v>14783524</v>
      </c>
      <c r="D31" s="390">
        <f>'Table 7 Local Revenue'!H30</f>
        <v>461723209</v>
      </c>
      <c r="E31" s="390">
        <f t="shared" si="1"/>
        <v>8199858</v>
      </c>
      <c r="F31" s="389">
        <f>'Table 7 Local Revenue'!AI30</f>
        <v>25079028</v>
      </c>
      <c r="G31" s="390">
        <f>'Table 7 Local Revenue'!AM30</f>
        <v>1253951400</v>
      </c>
      <c r="H31" s="390">
        <f t="shared" si="2"/>
        <v>10887182</v>
      </c>
      <c r="I31" s="1063">
        <f>'Table 7 Local Revenue'!AP30</f>
        <v>558206</v>
      </c>
      <c r="J31" s="390">
        <f t="shared" si="3"/>
        <v>19645246</v>
      </c>
    </row>
    <row r="32" spans="1:13">
      <c r="A32" s="1062">
        <v>24</v>
      </c>
      <c r="B32" s="381" t="s">
        <v>200</v>
      </c>
      <c r="C32" s="390">
        <f>'Table 7 Local Revenue'!AE31</f>
        <v>22816364</v>
      </c>
      <c r="D32" s="390">
        <f>'Table 7 Local Revenue'!H31</f>
        <v>408809070</v>
      </c>
      <c r="E32" s="390">
        <f t="shared" si="1"/>
        <v>7260142</v>
      </c>
      <c r="F32" s="389">
        <f>'Table 7 Local Revenue'!AI31</f>
        <v>20287426</v>
      </c>
      <c r="G32" s="390">
        <f>'Table 7 Local Revenue'!AM31</f>
        <v>1014371300</v>
      </c>
      <c r="H32" s="390">
        <f t="shared" si="2"/>
        <v>8807076</v>
      </c>
      <c r="I32" s="1063">
        <f>'Table 7 Local Revenue'!AP31</f>
        <v>150453</v>
      </c>
      <c r="J32" s="390">
        <f t="shared" si="3"/>
        <v>16217671</v>
      </c>
    </row>
    <row r="33" spans="1:10">
      <c r="A33" s="1064">
        <v>25</v>
      </c>
      <c r="B33" s="400" t="s">
        <v>201</v>
      </c>
      <c r="C33" s="409">
        <f>'Table 7 Local Revenue'!AE32</f>
        <v>4720412</v>
      </c>
      <c r="D33" s="409">
        <f>'Table 7 Local Revenue'!H32</f>
        <v>187312980</v>
      </c>
      <c r="E33" s="409">
        <f t="shared" si="1"/>
        <v>3326538</v>
      </c>
      <c r="F33" s="408">
        <f>'Table 7 Local Revenue'!AI32</f>
        <v>9576229</v>
      </c>
      <c r="G33" s="409">
        <f>'Table 7 Local Revenue'!AM32</f>
        <v>249915202.04999998</v>
      </c>
      <c r="H33" s="409">
        <f t="shared" si="2"/>
        <v>2169839</v>
      </c>
      <c r="I33" s="1065">
        <f>'Table 7 Local Revenue'!AP32</f>
        <v>118059.5</v>
      </c>
      <c r="J33" s="409">
        <f t="shared" si="3"/>
        <v>5614436.5</v>
      </c>
    </row>
    <row r="34" spans="1:10">
      <c r="A34" s="1062">
        <v>26</v>
      </c>
      <c r="B34" s="381" t="s">
        <v>202</v>
      </c>
      <c r="C34" s="390">
        <f>'Table 7 Local Revenue'!AE33</f>
        <v>72861837</v>
      </c>
      <c r="D34" s="390">
        <f>'Table 7 Local Revenue'!H33</f>
        <v>3247863293</v>
      </c>
      <c r="E34" s="390">
        <f t="shared" si="1"/>
        <v>57679616</v>
      </c>
      <c r="F34" s="389">
        <f>'Table 7 Local Revenue'!AI33</f>
        <v>161332128</v>
      </c>
      <c r="G34" s="390">
        <f>'Table 7 Local Revenue'!AM33</f>
        <v>8066606400</v>
      </c>
      <c r="H34" s="390">
        <f t="shared" si="2"/>
        <v>70036697</v>
      </c>
      <c r="I34" s="1063">
        <f>'Table 7 Local Revenue'!AP33</f>
        <v>2197874</v>
      </c>
      <c r="J34" s="390">
        <f t="shared" si="3"/>
        <v>129914187</v>
      </c>
    </row>
    <row r="35" spans="1:10">
      <c r="A35" s="1062">
        <v>27</v>
      </c>
      <c r="B35" s="381" t="s">
        <v>203</v>
      </c>
      <c r="C35" s="390">
        <f>'Table 7 Local Revenue'!AE34</f>
        <v>6705491</v>
      </c>
      <c r="D35" s="390">
        <f>'Table 7 Local Revenue'!H34</f>
        <v>160226248</v>
      </c>
      <c r="E35" s="390">
        <f t="shared" si="1"/>
        <v>2845498</v>
      </c>
      <c r="F35" s="389">
        <f>'Table 7 Local Revenue'!AI34</f>
        <v>9278270</v>
      </c>
      <c r="G35" s="390">
        <f>'Table 7 Local Revenue'!AM34</f>
        <v>371130800</v>
      </c>
      <c r="H35" s="390">
        <f t="shared" si="2"/>
        <v>3222269</v>
      </c>
      <c r="I35" s="1063">
        <f>'Table 7 Local Revenue'!AP34</f>
        <v>332313</v>
      </c>
      <c r="J35" s="390">
        <f t="shared" si="3"/>
        <v>6400080</v>
      </c>
    </row>
    <row r="36" spans="1:10">
      <c r="A36" s="1062">
        <v>28</v>
      </c>
      <c r="B36" s="381" t="s">
        <v>204</v>
      </c>
      <c r="C36" s="390">
        <f>'Table 7 Local Revenue'!AE35</f>
        <v>51018075</v>
      </c>
      <c r="D36" s="390">
        <f>'Table 7 Local Revenue'!H35</f>
        <v>1580320241</v>
      </c>
      <c r="E36" s="390">
        <f t="shared" si="1"/>
        <v>28065302</v>
      </c>
      <c r="F36" s="389">
        <f>'Table 7 Local Revenue'!AI35</f>
        <v>90746326</v>
      </c>
      <c r="G36" s="390">
        <f>'Table 7 Local Revenue'!AM35</f>
        <v>4537316300</v>
      </c>
      <c r="H36" s="390">
        <f t="shared" si="2"/>
        <v>39394341</v>
      </c>
      <c r="I36" s="1063">
        <f>'Table 7 Local Revenue'!AP35</f>
        <v>2119644</v>
      </c>
      <c r="J36" s="390">
        <f t="shared" si="3"/>
        <v>69579287</v>
      </c>
    </row>
    <row r="37" spans="1:10">
      <c r="A37" s="1062">
        <v>29</v>
      </c>
      <c r="B37" s="381" t="s">
        <v>205</v>
      </c>
      <c r="C37" s="390">
        <f>'Table 7 Local Revenue'!AE36</f>
        <v>27785903</v>
      </c>
      <c r="D37" s="390">
        <f>'Table 7 Local Revenue'!H36</f>
        <v>649751986</v>
      </c>
      <c r="E37" s="390">
        <f t="shared" si="1"/>
        <v>11539108</v>
      </c>
      <c r="F37" s="389">
        <f>'Table 7 Local Revenue'!AI36</f>
        <v>25374941</v>
      </c>
      <c r="G37" s="390">
        <f>'Table 7 Local Revenue'!AM36</f>
        <v>1268747050</v>
      </c>
      <c r="H37" s="390">
        <f t="shared" si="2"/>
        <v>11015643</v>
      </c>
      <c r="I37" s="1063">
        <f>'Table 7 Local Revenue'!AP36</f>
        <v>906922</v>
      </c>
      <c r="J37" s="390">
        <f t="shared" si="3"/>
        <v>23461673</v>
      </c>
    </row>
    <row r="38" spans="1:10">
      <c r="A38" s="1064">
        <v>30</v>
      </c>
      <c r="B38" s="400" t="s">
        <v>206</v>
      </c>
      <c r="C38" s="409">
        <f>'Table 7 Local Revenue'!AE37</f>
        <v>2946245</v>
      </c>
      <c r="D38" s="409">
        <f>'Table 7 Local Revenue'!H37</f>
        <v>55913500.500000007</v>
      </c>
      <c r="E38" s="409">
        <f t="shared" si="1"/>
        <v>992982</v>
      </c>
      <c r="F38" s="408">
        <f>'Table 7 Local Revenue'!AI37</f>
        <v>5287772</v>
      </c>
      <c r="G38" s="409">
        <f>'Table 7 Local Revenue'!AM37</f>
        <v>176259067</v>
      </c>
      <c r="H38" s="409">
        <f t="shared" si="2"/>
        <v>1530334</v>
      </c>
      <c r="I38" s="1065">
        <f>'Table 7 Local Revenue'!AP37</f>
        <v>82921</v>
      </c>
      <c r="J38" s="409">
        <f t="shared" si="3"/>
        <v>2606237</v>
      </c>
    </row>
    <row r="39" spans="1:10">
      <c r="A39" s="1062">
        <v>31</v>
      </c>
      <c r="B39" s="381" t="s">
        <v>207</v>
      </c>
      <c r="C39" s="390">
        <f>'Table 7 Local Revenue'!AE38</f>
        <v>15353174</v>
      </c>
      <c r="D39" s="390">
        <f>'Table 7 Local Revenue'!H38</f>
        <v>345164033.5</v>
      </c>
      <c r="E39" s="390">
        <f t="shared" si="1"/>
        <v>6129854</v>
      </c>
      <c r="F39" s="389">
        <f>'Table 7 Local Revenue'!AI38</f>
        <v>13737876</v>
      </c>
      <c r="G39" s="390">
        <f>'Table 7 Local Revenue'!AM38</f>
        <v>686893800</v>
      </c>
      <c r="H39" s="390">
        <f t="shared" si="2"/>
        <v>5963818</v>
      </c>
      <c r="I39" s="1063">
        <f>'Table 7 Local Revenue'!AP38</f>
        <v>309727</v>
      </c>
      <c r="J39" s="390">
        <f t="shared" si="3"/>
        <v>12403399</v>
      </c>
    </row>
    <row r="40" spans="1:10">
      <c r="A40" s="1062">
        <v>32</v>
      </c>
      <c r="B40" s="381" t="s">
        <v>208</v>
      </c>
      <c r="C40" s="390">
        <f>'Table 7 Local Revenue'!AE39</f>
        <v>15120723</v>
      </c>
      <c r="D40" s="390">
        <f>'Table 7 Local Revenue'!H39</f>
        <v>385419320</v>
      </c>
      <c r="E40" s="390">
        <f t="shared" si="1"/>
        <v>6844758</v>
      </c>
      <c r="F40" s="389">
        <f>'Table 7 Local Revenue'!AI39</f>
        <v>30666308</v>
      </c>
      <c r="G40" s="390">
        <f>'Table 7 Local Revenue'!AM39</f>
        <v>1226652320</v>
      </c>
      <c r="H40" s="390">
        <f t="shared" si="2"/>
        <v>10650163</v>
      </c>
      <c r="I40" s="1063">
        <f>'Table 7 Local Revenue'!AP39</f>
        <v>897436.5</v>
      </c>
      <c r="J40" s="390">
        <f t="shared" si="3"/>
        <v>18392357.5</v>
      </c>
    </row>
    <row r="41" spans="1:10">
      <c r="A41" s="1062">
        <v>33</v>
      </c>
      <c r="B41" s="381" t="s">
        <v>209</v>
      </c>
      <c r="C41" s="390">
        <f>'Table 7 Local Revenue'!AE40</f>
        <v>2225547</v>
      </c>
      <c r="D41" s="390">
        <f>'Table 7 Local Revenue'!H40</f>
        <v>74145154.600000009</v>
      </c>
      <c r="E41" s="390">
        <f t="shared" si="1"/>
        <v>1316762</v>
      </c>
      <c r="F41" s="389">
        <f>'Table 7 Local Revenue'!AI40</f>
        <v>3893519</v>
      </c>
      <c r="G41" s="390">
        <f>'Table 7 Local Revenue'!AM40</f>
        <v>148167150</v>
      </c>
      <c r="H41" s="390">
        <f t="shared" si="2"/>
        <v>1286432</v>
      </c>
      <c r="I41" s="1063">
        <f>'Table 7 Local Revenue'!AP40</f>
        <v>128909</v>
      </c>
      <c r="J41" s="390">
        <f t="shared" si="3"/>
        <v>2732103</v>
      </c>
    </row>
    <row r="42" spans="1:10">
      <c r="A42" s="1062">
        <v>34</v>
      </c>
      <c r="B42" s="381" t="s">
        <v>210</v>
      </c>
      <c r="C42" s="390">
        <f>'Table 7 Local Revenue'!AE41</f>
        <v>5942716</v>
      </c>
      <c r="D42" s="390">
        <f>'Table 7 Local Revenue'!H41</f>
        <v>150170027</v>
      </c>
      <c r="E42" s="390">
        <f t="shared" si="1"/>
        <v>2666907</v>
      </c>
      <c r="F42" s="389">
        <f>'Table 7 Local Revenue'!AI41</f>
        <v>5508612</v>
      </c>
      <c r="G42" s="390">
        <f>'Table 7 Local Revenue'!AM41</f>
        <v>275430600</v>
      </c>
      <c r="H42" s="390">
        <f t="shared" si="2"/>
        <v>2391371</v>
      </c>
      <c r="I42" s="1063">
        <f>'Table 7 Local Revenue'!AP41</f>
        <v>281502</v>
      </c>
      <c r="J42" s="390">
        <f t="shared" si="3"/>
        <v>5339780</v>
      </c>
    </row>
    <row r="43" spans="1:10">
      <c r="A43" s="1064">
        <v>35</v>
      </c>
      <c r="B43" s="400" t="s">
        <v>211</v>
      </c>
      <c r="C43" s="409">
        <f>'Table 7 Local Revenue'!AE42</f>
        <v>6342109</v>
      </c>
      <c r="D43" s="409">
        <f>'Table 7 Local Revenue'!H42</f>
        <v>207298824</v>
      </c>
      <c r="E43" s="409">
        <f t="shared" si="1"/>
        <v>3681472</v>
      </c>
      <c r="F43" s="408">
        <f>'Table 7 Local Revenue'!AI42</f>
        <v>10991076</v>
      </c>
      <c r="G43" s="409">
        <f>'Table 7 Local Revenue'!AM42</f>
        <v>549553800</v>
      </c>
      <c r="H43" s="409">
        <f t="shared" si="2"/>
        <v>4771391</v>
      </c>
      <c r="I43" s="1065">
        <f>'Table 7 Local Revenue'!AP42</f>
        <v>542988.5</v>
      </c>
      <c r="J43" s="409">
        <f t="shared" si="3"/>
        <v>8995851.5</v>
      </c>
    </row>
    <row r="44" spans="1:10" s="616" customFormat="1">
      <c r="A44" s="379">
        <v>36</v>
      </c>
      <c r="B44" s="380" t="s">
        <v>74</v>
      </c>
      <c r="C44" s="1066">
        <f>'Table 7 Local Revenue'!AE43</f>
        <v>110517623</v>
      </c>
      <c r="D44" s="1066">
        <f>'Table 7 Local Revenue'!H43</f>
        <v>2678381864</v>
      </c>
      <c r="E44" s="1066">
        <f t="shared" si="1"/>
        <v>47566053</v>
      </c>
      <c r="F44" s="1067">
        <f>'Table 7 Local Revenue'!AI43</f>
        <v>84919258</v>
      </c>
      <c r="G44" s="1066">
        <f>'Table 7 Local Revenue'!AM43</f>
        <v>5661283867</v>
      </c>
      <c r="H44" s="1066">
        <f t="shared" si="2"/>
        <v>49152965</v>
      </c>
      <c r="I44" s="1068">
        <f>'Table 7 Local Revenue'!AP43</f>
        <v>1625992</v>
      </c>
      <c r="J44" s="1066">
        <f t="shared" si="3"/>
        <v>98345010</v>
      </c>
    </row>
    <row r="45" spans="1:10" s="616" customFormat="1">
      <c r="A45" s="379">
        <v>37</v>
      </c>
      <c r="B45" s="380" t="s">
        <v>213</v>
      </c>
      <c r="C45" s="1066">
        <f>'Table 7 Local Revenue'!AE44</f>
        <v>20009290</v>
      </c>
      <c r="D45" s="1066">
        <f>'Table 7 Local Revenue'!H44</f>
        <v>508369806</v>
      </c>
      <c r="E45" s="1066">
        <f t="shared" si="1"/>
        <v>9028266</v>
      </c>
      <c r="F45" s="1067">
        <f>'Table 7 Local Revenue'!AI44</f>
        <v>35355711</v>
      </c>
      <c r="G45" s="1066">
        <f>'Table 7 Local Revenue'!AM44</f>
        <v>1178523700</v>
      </c>
      <c r="H45" s="1066">
        <f t="shared" si="2"/>
        <v>10232296</v>
      </c>
      <c r="I45" s="1068">
        <f>'Table 7 Local Revenue'!AP44</f>
        <v>829551</v>
      </c>
      <c r="J45" s="1066">
        <f t="shared" si="3"/>
        <v>20090113</v>
      </c>
    </row>
    <row r="46" spans="1:10" s="616" customFormat="1">
      <c r="A46" s="379">
        <v>38</v>
      </c>
      <c r="B46" s="380" t="s">
        <v>214</v>
      </c>
      <c r="C46" s="1066">
        <f>'Table 7 Local Revenue'!AE45</f>
        <v>20205915</v>
      </c>
      <c r="D46" s="1066">
        <f>'Table 7 Local Revenue'!H45</f>
        <v>874170797.50000012</v>
      </c>
      <c r="E46" s="1066">
        <f t="shared" si="1"/>
        <v>15524618</v>
      </c>
      <c r="F46" s="1067">
        <f>'Table 7 Local Revenue'!AI45</f>
        <v>16260763</v>
      </c>
      <c r="G46" s="1066">
        <f>'Table 7 Local Revenue'!AM45</f>
        <v>813038150</v>
      </c>
      <c r="H46" s="1066">
        <f t="shared" si="2"/>
        <v>7059041</v>
      </c>
      <c r="I46" s="1068">
        <f>'Table 7 Local Revenue'!AP45</f>
        <v>118653</v>
      </c>
      <c r="J46" s="1066">
        <f t="shared" si="3"/>
        <v>22702312</v>
      </c>
    </row>
    <row r="47" spans="1:10" s="616" customFormat="1">
      <c r="A47" s="379">
        <v>39</v>
      </c>
      <c r="B47" s="380" t="s">
        <v>76</v>
      </c>
      <c r="C47" s="1066">
        <f>'Table 7 Local Revenue'!AE46</f>
        <v>5639999</v>
      </c>
      <c r="D47" s="1066">
        <f>'Table 7 Local Revenue'!H46</f>
        <v>317996861</v>
      </c>
      <c r="E47" s="1066">
        <f t="shared" si="1"/>
        <v>5647386</v>
      </c>
      <c r="F47" s="1067">
        <f>'Table 7 Local Revenue'!AI46</f>
        <v>6289604</v>
      </c>
      <c r="G47" s="1066">
        <f>'Table 7 Local Revenue'!AM46</f>
        <v>314480200</v>
      </c>
      <c r="H47" s="1066">
        <f t="shared" si="2"/>
        <v>2730411</v>
      </c>
      <c r="I47" s="1068">
        <f>'Table 7 Local Revenue'!AP46</f>
        <v>163304</v>
      </c>
      <c r="J47" s="1066">
        <f t="shared" si="3"/>
        <v>8541101</v>
      </c>
    </row>
    <row r="48" spans="1:10" s="616" customFormat="1">
      <c r="A48" s="398">
        <v>40</v>
      </c>
      <c r="B48" s="399" t="s">
        <v>215</v>
      </c>
      <c r="C48" s="1069">
        <f>'Table 7 Local Revenue'!AE47</f>
        <v>30373285</v>
      </c>
      <c r="D48" s="1069">
        <f>'Table 7 Local Revenue'!H47</f>
        <v>611806621</v>
      </c>
      <c r="E48" s="1069">
        <f t="shared" si="1"/>
        <v>10865227</v>
      </c>
      <c r="F48" s="1070">
        <f>'Table 7 Local Revenue'!AI47</f>
        <v>33171801</v>
      </c>
      <c r="G48" s="1069">
        <f>'Table 7 Local Revenue'!AM47</f>
        <v>2211453400</v>
      </c>
      <c r="H48" s="1069">
        <f t="shared" si="2"/>
        <v>19200502</v>
      </c>
      <c r="I48" s="1071">
        <f>'Table 7 Local Revenue'!AP47</f>
        <v>1190941</v>
      </c>
      <c r="J48" s="409">
        <f t="shared" si="3"/>
        <v>31256670</v>
      </c>
    </row>
    <row r="49" spans="1:10" s="616" customFormat="1">
      <c r="A49" s="379">
        <v>41</v>
      </c>
      <c r="B49" s="380" t="s">
        <v>216</v>
      </c>
      <c r="C49" s="1066">
        <f>'Table 7 Local Revenue'!AE48</f>
        <v>4549282</v>
      </c>
      <c r="D49" s="1066">
        <f>'Table 7 Local Revenue'!H48</f>
        <v>45425457</v>
      </c>
      <c r="E49" s="1066">
        <f t="shared" si="1"/>
        <v>806722</v>
      </c>
      <c r="F49" s="1067">
        <f>'Table 7 Local Revenue'!AI48</f>
        <v>16550600</v>
      </c>
      <c r="G49" s="1066">
        <f>'Table 7 Local Revenue'!AM48</f>
        <v>490590459.99999994</v>
      </c>
      <c r="H49" s="1066">
        <f t="shared" si="2"/>
        <v>4259454</v>
      </c>
      <c r="I49" s="1068">
        <f>'Table 7 Local Revenue'!AP48</f>
        <v>364241</v>
      </c>
      <c r="J49" s="1066">
        <f t="shared" si="3"/>
        <v>5430417</v>
      </c>
    </row>
    <row r="50" spans="1:10" s="616" customFormat="1">
      <c r="A50" s="379">
        <v>42</v>
      </c>
      <c r="B50" s="380" t="s">
        <v>217</v>
      </c>
      <c r="C50" s="1066">
        <f>'Table 7 Local Revenue'!AE49</f>
        <v>4420455</v>
      </c>
      <c r="D50" s="1066">
        <f>'Table 7 Local Revenue'!H49</f>
        <v>106904776.00000001</v>
      </c>
      <c r="E50" s="1066">
        <f t="shared" si="1"/>
        <v>1898549</v>
      </c>
      <c r="F50" s="1067">
        <f>'Table 7 Local Revenue'!AI49</f>
        <v>7608872</v>
      </c>
      <c r="G50" s="1066">
        <f>'Table 7 Local Revenue'!AM49</f>
        <v>330183917.5</v>
      </c>
      <c r="H50" s="1066">
        <f t="shared" si="2"/>
        <v>2866756</v>
      </c>
      <c r="I50" s="1068">
        <f>'Table 7 Local Revenue'!AP49</f>
        <v>225489.5</v>
      </c>
      <c r="J50" s="1066">
        <f t="shared" si="3"/>
        <v>4990794.5</v>
      </c>
    </row>
    <row r="51" spans="1:10" s="616" customFormat="1">
      <c r="A51" s="379">
        <v>43</v>
      </c>
      <c r="B51" s="380" t="s">
        <v>218</v>
      </c>
      <c r="C51" s="1066">
        <f>'Table 7 Local Revenue'!AE50</f>
        <v>3783709</v>
      </c>
      <c r="D51" s="1066">
        <f>'Table 7 Local Revenue'!H50</f>
        <v>93653717</v>
      </c>
      <c r="E51" s="1066">
        <f t="shared" si="1"/>
        <v>1663220</v>
      </c>
      <c r="F51" s="1067">
        <f>'Table 7 Local Revenue'!AI50</f>
        <v>9392918</v>
      </c>
      <c r="G51" s="1066">
        <f>'Table 7 Local Revenue'!AM50</f>
        <v>312594518</v>
      </c>
      <c r="H51" s="1066">
        <f t="shared" si="2"/>
        <v>2714039</v>
      </c>
      <c r="I51" s="1068">
        <f>'Table 7 Local Revenue'!AP50</f>
        <v>164136</v>
      </c>
      <c r="J51" s="1066">
        <f t="shared" si="3"/>
        <v>4541395</v>
      </c>
    </row>
    <row r="52" spans="1:10" s="616" customFormat="1">
      <c r="A52" s="379">
        <v>44</v>
      </c>
      <c r="B52" s="380" t="s">
        <v>219</v>
      </c>
      <c r="C52" s="1066">
        <f>'Table 7 Local Revenue'!AE51</f>
        <v>12730851</v>
      </c>
      <c r="D52" s="1066">
        <f>'Table 7 Local Revenue'!H51</f>
        <v>287782321</v>
      </c>
      <c r="E52" s="1066">
        <f t="shared" si="1"/>
        <v>5110798</v>
      </c>
      <c r="F52" s="1067">
        <f>'Table 7 Local Revenue'!AI51</f>
        <v>14582831</v>
      </c>
      <c r="G52" s="1066">
        <f>'Table 7 Local Revenue'!AM51</f>
        <v>647457245</v>
      </c>
      <c r="H52" s="1066">
        <f t="shared" si="2"/>
        <v>5621418</v>
      </c>
      <c r="I52" s="1068">
        <f>'Table 7 Local Revenue'!AP51</f>
        <v>17771</v>
      </c>
      <c r="J52" s="1066">
        <f t="shared" si="3"/>
        <v>10749987</v>
      </c>
    </row>
    <row r="53" spans="1:10">
      <c r="A53" s="1064">
        <v>45</v>
      </c>
      <c r="B53" s="400" t="s">
        <v>220</v>
      </c>
      <c r="C53" s="409">
        <f>'Table 7 Local Revenue'!AE52</f>
        <v>58501843</v>
      </c>
      <c r="D53" s="409">
        <f>'Table 7 Local Revenue'!H52</f>
        <v>1053008255</v>
      </c>
      <c r="E53" s="409">
        <f t="shared" si="1"/>
        <v>18700637</v>
      </c>
      <c r="F53" s="408">
        <f>'Table 7 Local Revenue'!AI52</f>
        <v>43125539</v>
      </c>
      <c r="G53" s="409">
        <f>'Table 7 Local Revenue'!AM52</f>
        <v>1437517967</v>
      </c>
      <c r="H53" s="409">
        <f t="shared" si="2"/>
        <v>12480962</v>
      </c>
      <c r="I53" s="1065">
        <f>'Table 7 Local Revenue'!AP52</f>
        <v>281865</v>
      </c>
      <c r="J53" s="409">
        <f t="shared" si="3"/>
        <v>31463464</v>
      </c>
    </row>
    <row r="54" spans="1:10">
      <c r="A54" s="1062">
        <v>46</v>
      </c>
      <c r="B54" s="381" t="s">
        <v>78</v>
      </c>
      <c r="C54" s="390">
        <f>'Table 7 Local Revenue'!AE53</f>
        <v>708967</v>
      </c>
      <c r="D54" s="390">
        <f>'Table 7 Local Revenue'!H53</f>
        <v>40693470</v>
      </c>
      <c r="E54" s="390">
        <f t="shared" si="1"/>
        <v>722686</v>
      </c>
      <c r="F54" s="389">
        <f>'Table 7 Local Revenue'!AI53</f>
        <v>1068114</v>
      </c>
      <c r="G54" s="390">
        <f>'Table 7 Local Revenue'!AM53</f>
        <v>53405700</v>
      </c>
      <c r="H54" s="390">
        <f t="shared" si="2"/>
        <v>463684</v>
      </c>
      <c r="I54" s="1063">
        <f>'Table 7 Local Revenue'!AP53</f>
        <v>30712</v>
      </c>
      <c r="J54" s="390">
        <f t="shared" si="3"/>
        <v>1217082</v>
      </c>
    </row>
    <row r="55" spans="1:10">
      <c r="A55" s="1062">
        <v>47</v>
      </c>
      <c r="B55" s="381" t="s">
        <v>221</v>
      </c>
      <c r="C55" s="390">
        <f>'Table 7 Local Revenue'!AE54</f>
        <v>17591712</v>
      </c>
      <c r="D55" s="390">
        <f>'Table 7 Local Revenue'!H54</f>
        <v>384547925</v>
      </c>
      <c r="E55" s="390">
        <f t="shared" si="1"/>
        <v>6829283</v>
      </c>
      <c r="F55" s="389">
        <f>'Table 7 Local Revenue'!AI54</f>
        <v>12736822</v>
      </c>
      <c r="G55" s="390">
        <f>'Table 7 Local Revenue'!AM54</f>
        <v>509472880</v>
      </c>
      <c r="H55" s="390">
        <f t="shared" si="2"/>
        <v>4423396</v>
      </c>
      <c r="I55" s="1063">
        <f>'Table 7 Local Revenue'!AP54</f>
        <v>88335</v>
      </c>
      <c r="J55" s="390">
        <f t="shared" si="3"/>
        <v>11341014</v>
      </c>
    </row>
    <row r="56" spans="1:10">
      <c r="A56" s="1062">
        <v>48</v>
      </c>
      <c r="B56" s="381" t="s">
        <v>222</v>
      </c>
      <c r="C56" s="390">
        <f>'Table 7 Local Revenue'!AE55</f>
        <v>13320247</v>
      </c>
      <c r="D56" s="390">
        <f>'Table 7 Local Revenue'!H55</f>
        <v>329133250.60000002</v>
      </c>
      <c r="E56" s="390">
        <f t="shared" si="1"/>
        <v>5845160</v>
      </c>
      <c r="F56" s="389">
        <f>'Table 7 Local Revenue'!AI55</f>
        <v>26158528</v>
      </c>
      <c r="G56" s="390">
        <f>'Table 7 Local Revenue'!AM55</f>
        <v>1162601244</v>
      </c>
      <c r="H56" s="390">
        <f t="shared" si="2"/>
        <v>10094053</v>
      </c>
      <c r="I56" s="1063">
        <f>'Table 7 Local Revenue'!AP55</f>
        <v>209184.5</v>
      </c>
      <c r="J56" s="390">
        <f t="shared" si="3"/>
        <v>16148397.5</v>
      </c>
    </row>
    <row r="57" spans="1:10">
      <c r="A57" s="1062">
        <v>49</v>
      </c>
      <c r="B57" s="381" t="s">
        <v>223</v>
      </c>
      <c r="C57" s="390">
        <f>'Table 7 Local Revenue'!AE56</f>
        <v>9998812</v>
      </c>
      <c r="D57" s="390">
        <f>'Table 7 Local Revenue'!H56</f>
        <v>495210698</v>
      </c>
      <c r="E57" s="390">
        <f t="shared" si="1"/>
        <v>8794571</v>
      </c>
      <c r="F57" s="389">
        <f>'Table 7 Local Revenue'!AI56</f>
        <v>20390392</v>
      </c>
      <c r="G57" s="390">
        <f>'Table 7 Local Revenue'!AM56</f>
        <v>1019519600</v>
      </c>
      <c r="H57" s="390">
        <f t="shared" si="2"/>
        <v>8851775</v>
      </c>
      <c r="I57" s="1063">
        <f>'Table 7 Local Revenue'!AP56</f>
        <v>299915</v>
      </c>
      <c r="J57" s="390">
        <f t="shared" si="3"/>
        <v>17946261</v>
      </c>
    </row>
    <row r="58" spans="1:10">
      <c r="A58" s="1064">
        <v>50</v>
      </c>
      <c r="B58" s="400" t="s">
        <v>224</v>
      </c>
      <c r="C58" s="409">
        <f>'Table 7 Local Revenue'!AE57</f>
        <v>7716114</v>
      </c>
      <c r="D58" s="409">
        <f>'Table 7 Local Revenue'!H57</f>
        <v>230823287</v>
      </c>
      <c r="E58" s="409">
        <f t="shared" si="1"/>
        <v>4099248</v>
      </c>
      <c r="F58" s="408">
        <f>'Table 7 Local Revenue'!AI57</f>
        <v>10978045</v>
      </c>
      <c r="G58" s="409">
        <f>'Table 7 Local Revenue'!AM57</f>
        <v>548902250</v>
      </c>
      <c r="H58" s="409">
        <f t="shared" si="2"/>
        <v>4765734</v>
      </c>
      <c r="I58" s="1065">
        <f>'Table 7 Local Revenue'!AP57</f>
        <v>394704.5</v>
      </c>
      <c r="J58" s="409">
        <f t="shared" si="3"/>
        <v>9259686.5</v>
      </c>
    </row>
    <row r="59" spans="1:10">
      <c r="A59" s="1062">
        <v>51</v>
      </c>
      <c r="B59" s="381" t="s">
        <v>225</v>
      </c>
      <c r="C59" s="390">
        <f>'Table 7 Local Revenue'!AE58</f>
        <v>17698236</v>
      </c>
      <c r="D59" s="390">
        <f>'Table 7 Local Revenue'!H58</f>
        <v>498663701.80000001</v>
      </c>
      <c r="E59" s="390">
        <f t="shared" si="1"/>
        <v>8855893</v>
      </c>
      <c r="F59" s="389">
        <f>'Table 7 Local Revenue'!AI58</f>
        <v>15151729</v>
      </c>
      <c r="G59" s="390">
        <f>'Table 7 Local Revenue'!AM58</f>
        <v>865813086</v>
      </c>
      <c r="H59" s="390">
        <f t="shared" si="2"/>
        <v>7517249</v>
      </c>
      <c r="I59" s="1063">
        <f>'Table 7 Local Revenue'!AP58</f>
        <v>635703</v>
      </c>
      <c r="J59" s="390">
        <f t="shared" si="3"/>
        <v>17008845</v>
      </c>
    </row>
    <row r="60" spans="1:10">
      <c r="A60" s="1062">
        <v>52</v>
      </c>
      <c r="B60" s="381" t="s">
        <v>226</v>
      </c>
      <c r="C60" s="390">
        <f>'Table 7 Local Revenue'!AE59</f>
        <v>101517677</v>
      </c>
      <c r="D60" s="390">
        <f>'Table 7 Local Revenue'!H59</f>
        <v>1471491895</v>
      </c>
      <c r="E60" s="390">
        <f t="shared" si="1"/>
        <v>26132592</v>
      </c>
      <c r="F60" s="389">
        <f>'Table 7 Local Revenue'!AI59</f>
        <v>72079382</v>
      </c>
      <c r="G60" s="390">
        <f>'Table 7 Local Revenue'!AM59</f>
        <v>3603969100</v>
      </c>
      <c r="H60" s="390">
        <f t="shared" si="2"/>
        <v>31290741</v>
      </c>
      <c r="I60" s="1063">
        <f>'Table 7 Local Revenue'!AP59</f>
        <v>1953133</v>
      </c>
      <c r="J60" s="390">
        <f t="shared" si="3"/>
        <v>59376466</v>
      </c>
    </row>
    <row r="61" spans="1:10">
      <c r="A61" s="1062">
        <v>53</v>
      </c>
      <c r="B61" s="381" t="s">
        <v>227</v>
      </c>
      <c r="C61" s="390">
        <f>'Table 7 Local Revenue'!AE60</f>
        <v>5671079</v>
      </c>
      <c r="D61" s="390">
        <f>'Table 7 Local Revenue'!H60</f>
        <v>469016299</v>
      </c>
      <c r="E61" s="390">
        <f t="shared" si="1"/>
        <v>8329378</v>
      </c>
      <c r="F61" s="389">
        <f>'Table 7 Local Revenue'!AI60</f>
        <v>30470518</v>
      </c>
      <c r="G61" s="390">
        <f>'Table 7 Local Revenue'!AM60</f>
        <v>1523525900</v>
      </c>
      <c r="H61" s="390">
        <f t="shared" si="2"/>
        <v>13227709</v>
      </c>
      <c r="I61" s="1063">
        <f>'Table 7 Local Revenue'!AP60</f>
        <v>206878.5</v>
      </c>
      <c r="J61" s="390">
        <f t="shared" si="3"/>
        <v>21763965.5</v>
      </c>
    </row>
    <row r="62" spans="1:10">
      <c r="A62" s="1062">
        <v>54</v>
      </c>
      <c r="B62" s="381" t="s">
        <v>228</v>
      </c>
      <c r="C62" s="390">
        <f>'Table 7 Local Revenue'!AE61</f>
        <v>1560068</v>
      </c>
      <c r="D62" s="390">
        <f>'Table 7 Local Revenue'!H61</f>
        <v>46291033</v>
      </c>
      <c r="E62" s="390">
        <f t="shared" si="1"/>
        <v>822094</v>
      </c>
      <c r="F62" s="389">
        <f>'Table 7 Local Revenue'!AI61</f>
        <v>587547</v>
      </c>
      <c r="G62" s="390">
        <f>'Table 7 Local Revenue'!AM61</f>
        <v>39169800</v>
      </c>
      <c r="H62" s="390">
        <f t="shared" si="2"/>
        <v>340084</v>
      </c>
      <c r="I62" s="1063">
        <f>'Table 7 Local Revenue'!AP61</f>
        <v>60404.5</v>
      </c>
      <c r="J62" s="390">
        <f t="shared" si="3"/>
        <v>1222582.5</v>
      </c>
    </row>
    <row r="63" spans="1:10">
      <c r="A63" s="1064">
        <v>55</v>
      </c>
      <c r="B63" s="400" t="s">
        <v>229</v>
      </c>
      <c r="C63" s="409">
        <f>'Table 7 Local Revenue'!AE62</f>
        <v>6289967</v>
      </c>
      <c r="D63" s="409">
        <f>'Table 7 Local Revenue'!H62</f>
        <v>722165295</v>
      </c>
      <c r="E63" s="409">
        <f t="shared" si="1"/>
        <v>12825114</v>
      </c>
      <c r="F63" s="408">
        <f>'Table 7 Local Revenue'!AI62</f>
        <v>44090552</v>
      </c>
      <c r="G63" s="409">
        <f>'Table 7 Local Revenue'!AM62</f>
        <v>2119738077</v>
      </c>
      <c r="H63" s="409">
        <f t="shared" si="2"/>
        <v>18404202</v>
      </c>
      <c r="I63" s="1065">
        <f>'Table 7 Local Revenue'!AP62</f>
        <v>367416.5</v>
      </c>
      <c r="J63" s="409">
        <f t="shared" si="3"/>
        <v>31596732.5</v>
      </c>
    </row>
    <row r="64" spans="1:10">
      <c r="A64" s="1062">
        <v>56</v>
      </c>
      <c r="B64" s="381" t="s">
        <v>230</v>
      </c>
      <c r="C64" s="390">
        <f>'Table 7 Local Revenue'!AE63</f>
        <v>3164807</v>
      </c>
      <c r="D64" s="390">
        <f>'Table 7 Local Revenue'!H63</f>
        <v>126074741.10000001</v>
      </c>
      <c r="E64" s="390">
        <f t="shared" si="1"/>
        <v>2238993</v>
      </c>
      <c r="F64" s="389">
        <f>'Table 7 Local Revenue'!AI63</f>
        <v>5516496</v>
      </c>
      <c r="G64" s="390">
        <f>'Table 7 Local Revenue'!AM63</f>
        <v>275824800</v>
      </c>
      <c r="H64" s="390">
        <f t="shared" si="2"/>
        <v>2394794</v>
      </c>
      <c r="I64" s="1063">
        <f>'Table 7 Local Revenue'!AP63</f>
        <v>160000</v>
      </c>
      <c r="J64" s="390">
        <f t="shared" si="3"/>
        <v>4793787</v>
      </c>
    </row>
    <row r="65" spans="1:10">
      <c r="A65" s="1062">
        <v>57</v>
      </c>
      <c r="B65" s="381" t="s">
        <v>231</v>
      </c>
      <c r="C65" s="390">
        <f>'Table 7 Local Revenue'!AE64</f>
        <v>11983323</v>
      </c>
      <c r="D65" s="390">
        <f>'Table 7 Local Revenue'!H64</f>
        <v>306010230</v>
      </c>
      <c r="E65" s="390">
        <f t="shared" si="1"/>
        <v>5434512</v>
      </c>
      <c r="F65" s="389">
        <f>'Table 7 Local Revenue'!AI64</f>
        <v>9348632</v>
      </c>
      <c r="G65" s="390">
        <f>'Table 7 Local Revenue'!AM64</f>
        <v>623242133</v>
      </c>
      <c r="H65" s="390">
        <f t="shared" si="2"/>
        <v>5411175</v>
      </c>
      <c r="I65" s="1063">
        <f>'Table 7 Local Revenue'!AP64</f>
        <v>1700971</v>
      </c>
      <c r="J65" s="390">
        <f t="shared" si="3"/>
        <v>12546658</v>
      </c>
    </row>
    <row r="66" spans="1:10">
      <c r="A66" s="1062">
        <v>58</v>
      </c>
      <c r="B66" s="381" t="s">
        <v>232</v>
      </c>
      <c r="C66" s="390">
        <f>'Table 7 Local Revenue'!AE65</f>
        <v>5423965</v>
      </c>
      <c r="D66" s="390">
        <f>'Table 7 Local Revenue'!H65</f>
        <v>121458730</v>
      </c>
      <c r="E66" s="390">
        <f t="shared" si="1"/>
        <v>2157016</v>
      </c>
      <c r="F66" s="389">
        <f>'Table 7 Local Revenue'!AI65</f>
        <v>10777407</v>
      </c>
      <c r="G66" s="390">
        <f>'Table 7 Local Revenue'!AM65</f>
        <v>538870350</v>
      </c>
      <c r="H66" s="390">
        <f t="shared" si="2"/>
        <v>4678634</v>
      </c>
      <c r="I66" s="1063">
        <f>'Table 7 Local Revenue'!AP65</f>
        <v>527347.5</v>
      </c>
      <c r="J66" s="390">
        <f t="shared" si="3"/>
        <v>7362997.5</v>
      </c>
    </row>
    <row r="67" spans="1:10">
      <c r="A67" s="1062">
        <v>59</v>
      </c>
      <c r="B67" s="381" t="s">
        <v>233</v>
      </c>
      <c r="C67" s="390">
        <f>'Table 7 Local Revenue'!AE66</f>
        <v>3856219</v>
      </c>
      <c r="D67" s="390">
        <f>'Table 7 Local Revenue'!H66</f>
        <v>77180840</v>
      </c>
      <c r="E67" s="390">
        <f t="shared" si="1"/>
        <v>1370674</v>
      </c>
      <c r="F67" s="389">
        <f>'Table 7 Local Revenue'!AI66</f>
        <v>3684266</v>
      </c>
      <c r="G67" s="390">
        <f>'Table 7 Local Revenue'!AM66</f>
        <v>184213300</v>
      </c>
      <c r="H67" s="390">
        <f t="shared" si="2"/>
        <v>1599395</v>
      </c>
      <c r="I67" s="1063">
        <f>'Table 7 Local Revenue'!AP66</f>
        <v>160955</v>
      </c>
      <c r="J67" s="390">
        <f t="shared" si="3"/>
        <v>3131024</v>
      </c>
    </row>
    <row r="68" spans="1:10">
      <c r="A68" s="1064">
        <v>60</v>
      </c>
      <c r="B68" s="400" t="s">
        <v>234</v>
      </c>
      <c r="C68" s="409">
        <f>'Table 7 Local Revenue'!AE67</f>
        <v>10750719</v>
      </c>
      <c r="D68" s="409">
        <f>'Table 7 Local Revenue'!H67</f>
        <v>211020008.10000002</v>
      </c>
      <c r="E68" s="409">
        <f t="shared" si="1"/>
        <v>3747557</v>
      </c>
      <c r="F68" s="408">
        <f>'Table 7 Local Revenue'!AI67</f>
        <v>13864373</v>
      </c>
      <c r="G68" s="409">
        <f>'Table 7 Local Revenue'!AM67</f>
        <v>650909531</v>
      </c>
      <c r="H68" s="409">
        <f t="shared" si="2"/>
        <v>5651392</v>
      </c>
      <c r="I68" s="1065">
        <f>'Table 7 Local Revenue'!AP67</f>
        <v>372075</v>
      </c>
      <c r="J68" s="409">
        <f t="shared" si="3"/>
        <v>9771024</v>
      </c>
    </row>
    <row r="69" spans="1:10">
      <c r="A69" s="1062">
        <v>61</v>
      </c>
      <c r="B69" s="381" t="s">
        <v>235</v>
      </c>
      <c r="C69" s="390">
        <f>'Table 7 Local Revenue'!AE68</f>
        <v>11619187</v>
      </c>
      <c r="D69" s="390">
        <f>'Table 7 Local Revenue'!H68</f>
        <v>311590633</v>
      </c>
      <c r="E69" s="390">
        <f t="shared" si="1"/>
        <v>5533616</v>
      </c>
      <c r="F69" s="389">
        <f>'Table 7 Local Revenue'!AI68</f>
        <v>10739947</v>
      </c>
      <c r="G69" s="390">
        <f>'Table 7 Local Revenue'!AM68</f>
        <v>536997350</v>
      </c>
      <c r="H69" s="390">
        <f t="shared" si="2"/>
        <v>4662372</v>
      </c>
      <c r="I69" s="1063">
        <f>'Table 7 Local Revenue'!AP68</f>
        <v>207611</v>
      </c>
      <c r="J69" s="390">
        <f t="shared" si="3"/>
        <v>10403599</v>
      </c>
    </row>
    <row r="70" spans="1:10">
      <c r="A70" s="1062">
        <v>62</v>
      </c>
      <c r="B70" s="381" t="s">
        <v>236</v>
      </c>
      <c r="C70" s="390">
        <f>'Table 7 Local Revenue'!AE69</f>
        <v>1314110</v>
      </c>
      <c r="D70" s="390">
        <f>'Table 7 Local Revenue'!H69</f>
        <v>53059759</v>
      </c>
      <c r="E70" s="390">
        <f t="shared" si="1"/>
        <v>942302</v>
      </c>
      <c r="F70" s="389">
        <f>'Table 7 Local Revenue'!AI69</f>
        <v>2209091</v>
      </c>
      <c r="G70" s="390">
        <f>'Table 7 Local Revenue'!AM69</f>
        <v>110454550</v>
      </c>
      <c r="H70" s="390">
        <f t="shared" si="2"/>
        <v>959000</v>
      </c>
      <c r="I70" s="1063">
        <f>'Table 7 Local Revenue'!AP69</f>
        <v>97642.5</v>
      </c>
      <c r="J70" s="390">
        <f t="shared" si="3"/>
        <v>1998944.5</v>
      </c>
    </row>
    <row r="71" spans="1:10">
      <c r="A71" s="1062">
        <v>63</v>
      </c>
      <c r="B71" s="381" t="s">
        <v>237</v>
      </c>
      <c r="C71" s="390">
        <f>'Table 7 Local Revenue'!AE70</f>
        <v>7055983</v>
      </c>
      <c r="D71" s="390">
        <f>'Table 7 Local Revenue'!H70</f>
        <v>273853000</v>
      </c>
      <c r="E71" s="390">
        <f t="shared" si="1"/>
        <v>4863424</v>
      </c>
      <c r="F71" s="389">
        <f>'Table 7 Local Revenue'!AI70</f>
        <v>3956702</v>
      </c>
      <c r="G71" s="390">
        <f>'Table 7 Local Revenue'!AM70</f>
        <v>197835100</v>
      </c>
      <c r="H71" s="390">
        <f t="shared" si="2"/>
        <v>1717664</v>
      </c>
      <c r="I71" s="1063">
        <f>'Table 7 Local Revenue'!AP70</f>
        <v>55182.5</v>
      </c>
      <c r="J71" s="390">
        <f t="shared" si="3"/>
        <v>6636270.5</v>
      </c>
    </row>
    <row r="72" spans="1:10">
      <c r="A72" s="1062">
        <v>64</v>
      </c>
      <c r="B72" s="381" t="s">
        <v>238</v>
      </c>
      <c r="C72" s="390">
        <f>'Table 7 Local Revenue'!AE71</f>
        <v>2751918</v>
      </c>
      <c r="D72" s="390">
        <f>'Table 7 Local Revenue'!H71</f>
        <v>59155594</v>
      </c>
      <c r="E72" s="390">
        <f t="shared" si="1"/>
        <v>1050559</v>
      </c>
      <c r="F72" s="389">
        <f>'Table 7 Local Revenue'!AI71</f>
        <v>3183820</v>
      </c>
      <c r="G72" s="390">
        <f>'Table 7 Local Revenue'!AM71</f>
        <v>159191000</v>
      </c>
      <c r="H72" s="390">
        <f t="shared" si="2"/>
        <v>1382144</v>
      </c>
      <c r="I72" s="1063">
        <f>'Table 7 Local Revenue'!AP71</f>
        <v>336023</v>
      </c>
      <c r="J72" s="390">
        <f t="shared" si="3"/>
        <v>2768726</v>
      </c>
    </row>
    <row r="73" spans="1:10">
      <c r="A73" s="1064">
        <v>65</v>
      </c>
      <c r="B73" s="400" t="s">
        <v>239</v>
      </c>
      <c r="C73" s="409">
        <f>'Table 7 Local Revenue'!AE72</f>
        <v>14189140</v>
      </c>
      <c r="D73" s="409">
        <f>'Table 7 Local Revenue'!H72</f>
        <v>342041168</v>
      </c>
      <c r="E73" s="409">
        <f>ROUND(D73*$E$6/1000,0)</f>
        <v>6074395</v>
      </c>
      <c r="F73" s="408">
        <f>'Table 7 Local Revenue'!AI72</f>
        <v>24029279</v>
      </c>
      <c r="G73" s="409">
        <f>'Table 7 Local Revenue'!AM72</f>
        <v>1201463950</v>
      </c>
      <c r="H73" s="409">
        <f>ROUND(G73*$H$6,0)</f>
        <v>10431470</v>
      </c>
      <c r="I73" s="1065">
        <f>'Table 7 Local Revenue'!AP72</f>
        <v>298850</v>
      </c>
      <c r="J73" s="409">
        <f>E73+H73+I73</f>
        <v>16804715</v>
      </c>
    </row>
    <row r="74" spans="1:10">
      <c r="A74" s="1062">
        <v>66</v>
      </c>
      <c r="B74" s="381" t="s">
        <v>240</v>
      </c>
      <c r="C74" s="390">
        <f>'Table 7 Local Revenue'!AE73</f>
        <v>4419571</v>
      </c>
      <c r="D74" s="390">
        <f>'Table 7 Local Revenue'!H73</f>
        <v>73038730</v>
      </c>
      <c r="E74" s="390">
        <f>ROUND(D74*$E$6/1000,0)</f>
        <v>1297113</v>
      </c>
      <c r="F74" s="389">
        <f>'Table 7 Local Revenue'!AI73</f>
        <v>2334972</v>
      </c>
      <c r="G74" s="390">
        <f>'Table 7 Local Revenue'!AM73</f>
        <v>233497200</v>
      </c>
      <c r="H74" s="390">
        <f>ROUND(G74*$H$6,0)</f>
        <v>2027293</v>
      </c>
      <c r="I74" s="1063">
        <f>'Table 7 Local Revenue'!AP73</f>
        <v>214245</v>
      </c>
      <c r="J74" s="390">
        <f>E74+H74+I74</f>
        <v>3538651</v>
      </c>
    </row>
    <row r="75" spans="1:10">
      <c r="A75" s="1062">
        <v>67</v>
      </c>
      <c r="B75" s="381" t="s">
        <v>241</v>
      </c>
      <c r="C75" s="390">
        <f>'Table 7 Local Revenue'!AE74</f>
        <v>13703639</v>
      </c>
      <c r="D75" s="390">
        <f>'Table 7 Local Revenue'!H74</f>
        <v>184265610</v>
      </c>
      <c r="E75" s="390">
        <f>ROUND(D75*$E$6/1000,0)</f>
        <v>3272419</v>
      </c>
      <c r="F75" s="389">
        <f>'Table 7 Local Revenue'!AI74</f>
        <v>7639687</v>
      </c>
      <c r="G75" s="390">
        <f>'Table 7 Local Revenue'!AM74</f>
        <v>381984350</v>
      </c>
      <c r="H75" s="390">
        <f>ROUND(G75*$H$6,0)</f>
        <v>3316503</v>
      </c>
      <c r="I75" s="1063">
        <f>'Table 7 Local Revenue'!AP74</f>
        <v>80224</v>
      </c>
      <c r="J75" s="390">
        <f>E75+H75+I75</f>
        <v>6669146</v>
      </c>
    </row>
    <row r="76" spans="1:10">
      <c r="A76" s="1062">
        <v>68</v>
      </c>
      <c r="B76" s="381" t="s">
        <v>242</v>
      </c>
      <c r="C76" s="390">
        <f>'Table 7 Local Revenue'!AE75</f>
        <v>1906908</v>
      </c>
      <c r="D76" s="390">
        <f>'Table 7 Local Revenue'!H75</f>
        <v>46445230</v>
      </c>
      <c r="E76" s="390">
        <f>ROUND(D76*$E$6/1000,0)</f>
        <v>824832</v>
      </c>
      <c r="F76" s="389">
        <f>'Table 7 Local Revenue'!AI75</f>
        <v>3009702</v>
      </c>
      <c r="G76" s="390">
        <f>'Table 7 Local Revenue'!AM75</f>
        <v>150485100</v>
      </c>
      <c r="H76" s="390">
        <f>ROUND(G76*$H$6,0)</f>
        <v>1306557</v>
      </c>
      <c r="I76" s="1063">
        <f>'Table 7 Local Revenue'!AP75</f>
        <v>46029</v>
      </c>
      <c r="J76" s="390">
        <f>E76+H76+I76</f>
        <v>2177418</v>
      </c>
    </row>
    <row r="77" spans="1:10">
      <c r="A77" s="1072">
        <v>69</v>
      </c>
      <c r="B77" s="400" t="s">
        <v>243</v>
      </c>
      <c r="C77" s="390">
        <f>'Table 7 Local Revenue'!AE76</f>
        <v>4870966</v>
      </c>
      <c r="D77" s="390">
        <f>'Table 7 Local Revenue'!H76</f>
        <v>101279930</v>
      </c>
      <c r="E77" s="390">
        <f>ROUND(D77*$E$6/1000,0)</f>
        <v>1798656</v>
      </c>
      <c r="F77" s="389">
        <f>'Table 7 Local Revenue'!AI76</f>
        <v>6769766</v>
      </c>
      <c r="G77" s="390">
        <f>'Table 7 Local Revenue'!AM76</f>
        <v>270790640</v>
      </c>
      <c r="H77" s="390">
        <f>ROUND(G77*$H$6,0)</f>
        <v>2351086</v>
      </c>
      <c r="I77" s="1063">
        <f>'Table 7 Local Revenue'!AP76</f>
        <v>0</v>
      </c>
      <c r="J77" s="390">
        <f>E77+H77+I77</f>
        <v>4149742</v>
      </c>
    </row>
    <row r="78" spans="1:10" ht="13.5" thickBot="1">
      <c r="A78" s="1073"/>
      <c r="B78" s="599" t="s">
        <v>369</v>
      </c>
      <c r="C78" s="602">
        <f t="shared" ref="C78:J78" si="4">SUM(C9:C77)</f>
        <v>1272732205</v>
      </c>
      <c r="D78" s="602">
        <f t="shared" si="4"/>
        <v>31212491447.999992</v>
      </c>
      <c r="E78" s="602">
        <f t="shared" si="4"/>
        <v>554310439</v>
      </c>
      <c r="F78" s="602">
        <f t="shared" si="4"/>
        <v>1545304410</v>
      </c>
      <c r="G78" s="602">
        <f t="shared" si="4"/>
        <v>76483527246.550003</v>
      </c>
      <c r="H78" s="602">
        <f t="shared" si="4"/>
        <v>664052932</v>
      </c>
      <c r="I78" s="1074">
        <f t="shared" si="4"/>
        <v>37956700.5</v>
      </c>
      <c r="J78" s="602">
        <f t="shared" si="4"/>
        <v>1256320071.5</v>
      </c>
    </row>
    <row r="79" spans="1:10" s="1478" customFormat="1" ht="14.25" hidden="1" customHeight="1" thickTop="1"/>
    <row r="80" spans="1:10" s="1478" customFormat="1" hidden="1"/>
    <row r="81" spans="5:6" s="1478" customFormat="1" hidden="1">
      <c r="F81" s="1554">
        <f>'Table 3 Levels 1&amp;2'!V77</f>
        <v>0.65</v>
      </c>
    </row>
    <row r="82" spans="5:6" s="1478" customFormat="1" hidden="1"/>
    <row r="83" spans="5:6" ht="13.5" thickTop="1"/>
    <row r="84" spans="5:6" ht="18">
      <c r="E84" s="1075"/>
      <c r="F84" s="1076"/>
    </row>
  </sheetData>
  <mergeCells count="10">
    <mergeCell ref="A4:A6"/>
    <mergeCell ref="B4:B6"/>
    <mergeCell ref="C4:E4"/>
    <mergeCell ref="F4:J4"/>
    <mergeCell ref="C5:C6"/>
    <mergeCell ref="D5:D6"/>
    <mergeCell ref="F5:F6"/>
    <mergeCell ref="G5:G6"/>
    <mergeCell ref="I5:I6"/>
    <mergeCell ref="J5:J6"/>
  </mergeCells>
  <printOptions horizontalCentered="1"/>
  <pageMargins left="0.68" right="0.28999999999999998" top="1.19" bottom="0.38" header="0.33" footer="0.18"/>
  <pageSetup paperSize="5" scale="87" firstPageNumber="34" orientation="portrait" useFirstPageNumber="1" r:id="rId1"/>
  <headerFooter alignWithMargins="0">
    <oddHeader>&amp;L&amp;"Arial,Bold"&amp;18TABLE 6: FY2011-12 Budget Letter 
Local Deduction Calculation</oddHeader>
    <oddFooter>&amp;R&amp;12&amp;P</oddFooter>
  </headerFooter>
  <colBreaks count="1" manualBreakCount="1">
    <brk id="5" min="2" max="76" man="1"/>
  </colBreaks>
</worksheet>
</file>

<file path=xl/worksheets/sheet17.xml><?xml version="1.0" encoding="utf-8"?>
<worksheet xmlns="http://schemas.openxmlformats.org/spreadsheetml/2006/main" xmlns:r="http://schemas.openxmlformats.org/officeDocument/2006/relationships">
  <dimension ref="A1:AS86"/>
  <sheetViews>
    <sheetView view="pageBreakPreview" topLeftCell="A3" zoomScaleNormal="85" zoomScaleSheetLayoutView="100" workbookViewId="0">
      <pane xSplit="2" ySplit="4" topLeftCell="C7" activePane="bottomRight" state="frozen"/>
      <selection pane="topRight"/>
      <selection pane="bottomLeft"/>
      <selection pane="bottomRight" activeCell="B88" sqref="B88"/>
    </sheetView>
  </sheetViews>
  <sheetFormatPr defaultRowHeight="12.75"/>
  <cols>
    <col min="1" max="1" width="4.7109375" customWidth="1"/>
    <col min="2" max="2" width="18.5703125" customWidth="1"/>
    <col min="3" max="3" width="16" customWidth="1"/>
    <col min="4" max="4" width="14.85546875" customWidth="1"/>
    <col min="5" max="5" width="15.7109375" customWidth="1"/>
    <col min="6" max="6" width="15.28515625" customWidth="1"/>
    <col min="7" max="7" width="9" customWidth="1"/>
    <col min="8" max="8" width="15.85546875" customWidth="1"/>
    <col min="9" max="9" width="10.42578125" bestFit="1" customWidth="1"/>
    <col min="10" max="10" width="13.140625" bestFit="1" customWidth="1"/>
    <col min="11" max="11" width="10.42578125" bestFit="1" customWidth="1"/>
    <col min="12" max="12" width="13" customWidth="1"/>
    <col min="13" max="15" width="8.28515625" bestFit="1" customWidth="1"/>
    <col min="16" max="16" width="11.7109375" bestFit="1" customWidth="1"/>
    <col min="17" max="17" width="15.42578125" customWidth="1"/>
    <col min="18" max="18" width="7.85546875" customWidth="1"/>
    <col min="19" max="19" width="17.140625" bestFit="1" customWidth="1"/>
    <col min="20" max="21" width="10.7109375" customWidth="1"/>
    <col min="22" max="22" width="9.140625" customWidth="1"/>
    <col min="23" max="23" width="16.5703125" bestFit="1" customWidth="1"/>
    <col min="24" max="24" width="13" bestFit="1" customWidth="1"/>
    <col min="25" max="25" width="12.85546875" customWidth="1"/>
    <col min="26" max="26" width="14.42578125" customWidth="1"/>
    <col min="27" max="27" width="12.85546875" customWidth="1"/>
    <col min="28" max="30" width="10.7109375" customWidth="1"/>
    <col min="31" max="31" width="16.140625" customWidth="1"/>
    <col min="32" max="32" width="10.5703125" customWidth="1"/>
    <col min="33" max="33" width="16.42578125" bestFit="1" customWidth="1"/>
    <col min="34" max="34" width="15.42578125" bestFit="1" customWidth="1"/>
    <col min="35" max="35" width="18.42578125" customWidth="1"/>
    <col min="36" max="36" width="16.85546875" bestFit="1" customWidth="1"/>
    <col min="37" max="37" width="17.42578125" bestFit="1" customWidth="1"/>
    <col min="38" max="38" width="12.28515625" bestFit="1" customWidth="1"/>
    <col min="39" max="39" width="20.140625" bestFit="1" customWidth="1"/>
    <col min="40" max="41" width="13.42578125" bestFit="1" customWidth="1"/>
    <col min="42" max="42" width="23.85546875" customWidth="1"/>
    <col min="43" max="43" width="19.140625" bestFit="1" customWidth="1"/>
    <col min="44" max="44" width="14.42578125" bestFit="1" customWidth="1"/>
    <col min="45" max="45" width="10.42578125" bestFit="1" customWidth="1"/>
  </cols>
  <sheetData>
    <row r="1" spans="1:44" ht="20.25" hidden="1">
      <c r="A1" s="1050" t="s">
        <v>377</v>
      </c>
      <c r="B1" s="1077"/>
      <c r="C1" s="1078"/>
      <c r="D1" s="1079"/>
      <c r="E1" s="1079"/>
      <c r="F1" s="1079"/>
      <c r="G1" s="1079"/>
      <c r="H1" s="1079"/>
      <c r="I1" s="480"/>
      <c r="J1" s="480"/>
      <c r="K1" s="480"/>
      <c r="L1" s="480"/>
      <c r="M1" s="480"/>
      <c r="N1" s="480"/>
      <c r="O1" s="480"/>
      <c r="P1" s="480"/>
      <c r="Q1" s="480"/>
      <c r="R1" s="480"/>
      <c r="S1" s="480"/>
      <c r="T1" s="480"/>
      <c r="U1" s="480"/>
      <c r="V1" s="480"/>
      <c r="W1" s="480"/>
      <c r="X1" s="480"/>
      <c r="Y1" s="480"/>
      <c r="Z1" s="480"/>
      <c r="AA1" s="480"/>
      <c r="AB1" s="480"/>
      <c r="AC1" s="480"/>
      <c r="AD1" s="480"/>
      <c r="AE1" s="1080"/>
      <c r="AF1" s="1081"/>
      <c r="AG1" s="250"/>
      <c r="AH1" s="250"/>
      <c r="AI1" s="250"/>
      <c r="AJ1" s="250"/>
      <c r="AK1" s="250"/>
      <c r="AL1" s="250"/>
      <c r="AM1" s="250"/>
      <c r="AN1" s="250"/>
      <c r="AO1" s="250"/>
      <c r="AP1" s="1082"/>
      <c r="AQ1" s="250"/>
    </row>
    <row r="2" spans="1:44" ht="40.5" hidden="1">
      <c r="A2" s="1050"/>
      <c r="C2" s="1879" t="s">
        <v>818</v>
      </c>
      <c r="D2" s="1880"/>
      <c r="E2" s="1083"/>
      <c r="F2" s="1083"/>
      <c r="G2" s="1083"/>
      <c r="H2" s="1083"/>
      <c r="I2" s="1077" t="s">
        <v>819</v>
      </c>
      <c r="J2" s="1077" t="s">
        <v>820</v>
      </c>
      <c r="K2" s="1077" t="s">
        <v>821</v>
      </c>
      <c r="L2" s="1077" t="s">
        <v>822</v>
      </c>
      <c r="M2" s="1077" t="s">
        <v>823</v>
      </c>
      <c r="N2" s="1077" t="s">
        <v>824</v>
      </c>
      <c r="O2" s="1077" t="s">
        <v>825</v>
      </c>
      <c r="P2" s="1077" t="s">
        <v>826</v>
      </c>
      <c r="Q2" s="1083" t="s">
        <v>827</v>
      </c>
      <c r="R2" s="1077" t="s">
        <v>828</v>
      </c>
      <c r="S2" s="1077" t="s">
        <v>829</v>
      </c>
      <c r="T2" s="1077" t="s">
        <v>830</v>
      </c>
      <c r="U2" s="1077" t="s">
        <v>831</v>
      </c>
      <c r="V2" s="1077" t="s">
        <v>832</v>
      </c>
      <c r="W2" s="1077" t="s">
        <v>833</v>
      </c>
      <c r="X2" s="1083" t="s">
        <v>834</v>
      </c>
      <c r="Y2" s="1083" t="s">
        <v>835</v>
      </c>
      <c r="Z2" s="1083" t="s">
        <v>836</v>
      </c>
      <c r="AA2" s="1083" t="s">
        <v>837</v>
      </c>
      <c r="AB2" s="1083" t="s">
        <v>838</v>
      </c>
      <c r="AC2" s="1083" t="s">
        <v>839</v>
      </c>
      <c r="AD2" s="1083" t="s">
        <v>840</v>
      </c>
      <c r="AE2" s="1084"/>
      <c r="AF2" s="1085" t="s">
        <v>841</v>
      </c>
      <c r="AG2" s="1085" t="s">
        <v>842</v>
      </c>
      <c r="AH2" s="1086" t="s">
        <v>843</v>
      </c>
      <c r="AI2" s="1086"/>
      <c r="AJ2" s="1087"/>
      <c r="AK2" s="1087" t="s">
        <v>844</v>
      </c>
      <c r="AL2" s="1088"/>
      <c r="AM2" s="1088"/>
      <c r="AN2" s="1083" t="s">
        <v>845</v>
      </c>
      <c r="AO2" s="1083" t="s">
        <v>846</v>
      </c>
      <c r="AP2" s="1089" t="s">
        <v>847</v>
      </c>
      <c r="AQ2" s="1090" t="s">
        <v>848</v>
      </c>
      <c r="AR2" s="1089" t="s">
        <v>849</v>
      </c>
    </row>
    <row r="3" spans="1:44" ht="39.75" customHeight="1">
      <c r="A3" s="1655" t="s">
        <v>157</v>
      </c>
      <c r="B3" s="1655" t="s">
        <v>807</v>
      </c>
      <c r="C3" s="1881" t="s">
        <v>850</v>
      </c>
      <c r="D3" s="1882"/>
      <c r="E3" s="1883"/>
      <c r="F3" s="1883"/>
      <c r="G3" s="1883"/>
      <c r="H3" s="1884"/>
      <c r="I3" s="1860" t="s">
        <v>851</v>
      </c>
      <c r="J3" s="1862"/>
      <c r="K3" s="1868" t="s">
        <v>852</v>
      </c>
      <c r="L3" s="1869"/>
      <c r="M3" s="1869"/>
      <c r="N3" s="1869"/>
      <c r="O3" s="1869"/>
      <c r="P3" s="1870"/>
      <c r="Q3" s="1865" t="s">
        <v>853</v>
      </c>
      <c r="R3" s="1868" t="s">
        <v>854</v>
      </c>
      <c r="S3" s="1869"/>
      <c r="T3" s="1869"/>
      <c r="U3" s="1869"/>
      <c r="V3" s="1869"/>
      <c r="W3" s="1870"/>
      <c r="X3" s="1865" t="s">
        <v>855</v>
      </c>
      <c r="Y3" s="1868" t="s">
        <v>856</v>
      </c>
      <c r="Z3" s="1869"/>
      <c r="AA3" s="1869"/>
      <c r="AB3" s="1869"/>
      <c r="AC3" s="1869"/>
      <c r="AD3" s="1869"/>
      <c r="AE3" s="1865" t="s">
        <v>857</v>
      </c>
      <c r="AF3" s="1868" t="s">
        <v>858</v>
      </c>
      <c r="AG3" s="1869"/>
      <c r="AH3" s="1869"/>
      <c r="AI3" s="1865" t="s">
        <v>859</v>
      </c>
      <c r="AJ3" s="1868" t="s">
        <v>860</v>
      </c>
      <c r="AK3" s="1869"/>
      <c r="AL3" s="1869"/>
      <c r="AM3" s="1869"/>
      <c r="AN3" s="1869"/>
      <c r="AO3" s="1870"/>
      <c r="AP3" s="1872" t="s">
        <v>861</v>
      </c>
      <c r="AQ3" s="1875" t="s">
        <v>862</v>
      </c>
      <c r="AR3" s="1878" t="s">
        <v>331</v>
      </c>
    </row>
    <row r="4" spans="1:44" ht="71.25" customHeight="1">
      <c r="A4" s="1858"/>
      <c r="B4" s="1858"/>
      <c r="C4" s="1761" t="s">
        <v>863</v>
      </c>
      <c r="D4" s="1761" t="s">
        <v>864</v>
      </c>
      <c r="E4" s="1655" t="s">
        <v>865</v>
      </c>
      <c r="F4" s="1761" t="s">
        <v>866</v>
      </c>
      <c r="G4" s="1761" t="s">
        <v>867</v>
      </c>
      <c r="H4" s="497" t="s">
        <v>868</v>
      </c>
      <c r="I4" s="1871" t="s">
        <v>869</v>
      </c>
      <c r="J4" s="1871" t="s">
        <v>870</v>
      </c>
      <c r="K4" s="1871" t="s">
        <v>869</v>
      </c>
      <c r="L4" s="1871" t="s">
        <v>870</v>
      </c>
      <c r="M4" s="1871" t="s">
        <v>871</v>
      </c>
      <c r="N4" s="1871" t="s">
        <v>872</v>
      </c>
      <c r="O4" s="1871" t="s">
        <v>873</v>
      </c>
      <c r="P4" s="1871" t="s">
        <v>874</v>
      </c>
      <c r="Q4" s="1866"/>
      <c r="R4" s="1871" t="s">
        <v>869</v>
      </c>
      <c r="S4" s="1871" t="s">
        <v>875</v>
      </c>
      <c r="T4" s="1871" t="s">
        <v>876</v>
      </c>
      <c r="U4" s="1871" t="s">
        <v>877</v>
      </c>
      <c r="V4" s="1871" t="s">
        <v>878</v>
      </c>
      <c r="W4" s="1871" t="s">
        <v>879</v>
      </c>
      <c r="X4" s="1866"/>
      <c r="Y4" s="1871" t="s">
        <v>880</v>
      </c>
      <c r="Z4" s="1871" t="s">
        <v>881</v>
      </c>
      <c r="AA4" s="1871" t="s">
        <v>882</v>
      </c>
      <c r="AB4" s="1871" t="s">
        <v>883</v>
      </c>
      <c r="AC4" s="1871" t="s">
        <v>884</v>
      </c>
      <c r="AD4" s="1871" t="s">
        <v>885</v>
      </c>
      <c r="AE4" s="1866"/>
      <c r="AF4" s="1863" t="s">
        <v>886</v>
      </c>
      <c r="AG4" s="1863" t="s">
        <v>887</v>
      </c>
      <c r="AH4" s="1863" t="s">
        <v>888</v>
      </c>
      <c r="AI4" s="1866"/>
      <c r="AJ4" s="1864" t="s">
        <v>889</v>
      </c>
      <c r="AK4" s="1864" t="s">
        <v>890</v>
      </c>
      <c r="AL4" s="1864" t="s">
        <v>891</v>
      </c>
      <c r="AM4" s="1091" t="s">
        <v>892</v>
      </c>
      <c r="AN4" s="1863" t="s">
        <v>893</v>
      </c>
      <c r="AO4" s="1863" t="s">
        <v>894</v>
      </c>
      <c r="AP4" s="1873"/>
      <c r="AQ4" s="1876"/>
      <c r="AR4" s="1876"/>
    </row>
    <row r="5" spans="1:44" s="249" customFormat="1" ht="16.5" customHeight="1">
      <c r="A5" s="1859"/>
      <c r="B5" s="1859"/>
      <c r="C5" s="1761"/>
      <c r="D5" s="1761"/>
      <c r="E5" s="1657"/>
      <c r="F5" s="1761"/>
      <c r="G5" s="1761"/>
      <c r="H5" s="1092">
        <v>0.1</v>
      </c>
      <c r="I5" s="1871"/>
      <c r="J5" s="1871"/>
      <c r="K5" s="1871"/>
      <c r="L5" s="1871"/>
      <c r="M5" s="1871"/>
      <c r="N5" s="1871"/>
      <c r="O5" s="1871"/>
      <c r="P5" s="1871"/>
      <c r="Q5" s="1867"/>
      <c r="R5" s="1871"/>
      <c r="S5" s="1871"/>
      <c r="T5" s="1871"/>
      <c r="U5" s="1871"/>
      <c r="V5" s="1871"/>
      <c r="W5" s="1871"/>
      <c r="X5" s="1867"/>
      <c r="Y5" s="1871"/>
      <c r="Z5" s="1871"/>
      <c r="AA5" s="1871"/>
      <c r="AB5" s="1871"/>
      <c r="AC5" s="1871"/>
      <c r="AD5" s="1871"/>
      <c r="AE5" s="1867"/>
      <c r="AF5" s="1863"/>
      <c r="AG5" s="1863"/>
      <c r="AH5" s="1863"/>
      <c r="AI5" s="1867"/>
      <c r="AJ5" s="1864"/>
      <c r="AK5" s="1864"/>
      <c r="AL5" s="1864"/>
      <c r="AM5" s="1092">
        <v>0.15</v>
      </c>
      <c r="AN5" s="1863"/>
      <c r="AO5" s="1863"/>
      <c r="AP5" s="1874"/>
      <c r="AQ5" s="1877"/>
      <c r="AR5" s="1877"/>
    </row>
    <row r="6" spans="1:44">
      <c r="A6" s="1054"/>
      <c r="B6" s="1093"/>
      <c r="C6" s="1094">
        <v>1</v>
      </c>
      <c r="D6" s="1095">
        <f>C6+1</f>
        <v>2</v>
      </c>
      <c r="E6" s="1095">
        <v>3</v>
      </c>
      <c r="F6" s="1055" t="s">
        <v>895</v>
      </c>
      <c r="G6" s="1055" t="s">
        <v>896</v>
      </c>
      <c r="H6" s="368" t="s">
        <v>897</v>
      </c>
      <c r="I6" s="369">
        <f>E6+1</f>
        <v>4</v>
      </c>
      <c r="J6" s="1095">
        <f t="shared" ref="J6:AR6" si="0">I6+1</f>
        <v>5</v>
      </c>
      <c r="K6" s="1095">
        <f t="shared" si="0"/>
        <v>6</v>
      </c>
      <c r="L6" s="1095">
        <f t="shared" si="0"/>
        <v>7</v>
      </c>
      <c r="M6" s="1095">
        <f t="shared" si="0"/>
        <v>8</v>
      </c>
      <c r="N6" s="1095">
        <f t="shared" si="0"/>
        <v>9</v>
      </c>
      <c r="O6" s="1095">
        <f t="shared" si="0"/>
        <v>10</v>
      </c>
      <c r="P6" s="1095">
        <f t="shared" si="0"/>
        <v>11</v>
      </c>
      <c r="Q6" s="1095">
        <f t="shared" si="0"/>
        <v>12</v>
      </c>
      <c r="R6" s="1095">
        <f t="shared" si="0"/>
        <v>13</v>
      </c>
      <c r="S6" s="1095">
        <f t="shared" si="0"/>
        <v>14</v>
      </c>
      <c r="T6" s="1095">
        <f t="shared" si="0"/>
        <v>15</v>
      </c>
      <c r="U6" s="1095">
        <f t="shared" si="0"/>
        <v>16</v>
      </c>
      <c r="V6" s="1095">
        <f t="shared" si="0"/>
        <v>17</v>
      </c>
      <c r="W6" s="1095">
        <f t="shared" si="0"/>
        <v>18</v>
      </c>
      <c r="X6" s="1095">
        <f t="shared" si="0"/>
        <v>19</v>
      </c>
      <c r="Y6" s="1095">
        <f t="shared" si="0"/>
        <v>20</v>
      </c>
      <c r="Z6" s="1095">
        <f t="shared" si="0"/>
        <v>21</v>
      </c>
      <c r="AA6" s="1095">
        <f t="shared" si="0"/>
        <v>22</v>
      </c>
      <c r="AB6" s="1095">
        <f t="shared" si="0"/>
        <v>23</v>
      </c>
      <c r="AC6" s="1095">
        <f t="shared" si="0"/>
        <v>24</v>
      </c>
      <c r="AD6" s="1095">
        <f t="shared" si="0"/>
        <v>25</v>
      </c>
      <c r="AE6" s="1095">
        <f t="shared" si="0"/>
        <v>26</v>
      </c>
      <c r="AF6" s="1095">
        <f t="shared" si="0"/>
        <v>27</v>
      </c>
      <c r="AG6" s="1095">
        <f t="shared" si="0"/>
        <v>28</v>
      </c>
      <c r="AH6" s="1095">
        <f t="shared" si="0"/>
        <v>29</v>
      </c>
      <c r="AI6" s="1095">
        <f t="shared" si="0"/>
        <v>30</v>
      </c>
      <c r="AJ6" s="1095">
        <f t="shared" si="0"/>
        <v>31</v>
      </c>
      <c r="AK6" s="1095">
        <f t="shared" si="0"/>
        <v>32</v>
      </c>
      <c r="AL6" s="1095">
        <f t="shared" si="0"/>
        <v>33</v>
      </c>
      <c r="AM6" s="1095">
        <f t="shared" si="0"/>
        <v>34</v>
      </c>
      <c r="AN6" s="1095">
        <f t="shared" si="0"/>
        <v>35</v>
      </c>
      <c r="AO6" s="1095">
        <f t="shared" si="0"/>
        <v>36</v>
      </c>
      <c r="AP6" s="1095">
        <f t="shared" si="0"/>
        <v>37</v>
      </c>
      <c r="AQ6" s="1095">
        <f t="shared" si="0"/>
        <v>38</v>
      </c>
      <c r="AR6" s="369">
        <f t="shared" si="0"/>
        <v>39</v>
      </c>
    </row>
    <row r="7" spans="1:44" ht="0.75" customHeight="1">
      <c r="A7" s="1056"/>
      <c r="B7" s="1096"/>
      <c r="C7" s="1097"/>
      <c r="D7" s="1098"/>
      <c r="E7" s="1098"/>
      <c r="F7" s="1099"/>
      <c r="G7" s="1099"/>
      <c r="H7" s="1099"/>
      <c r="I7" s="1100"/>
      <c r="J7" s="1101"/>
      <c r="K7" s="1097"/>
      <c r="L7" s="1101"/>
      <c r="M7" s="1097"/>
      <c r="N7" s="1097"/>
      <c r="O7" s="1097"/>
      <c r="P7" s="1101"/>
      <c r="Q7" s="1097"/>
      <c r="R7" s="1097"/>
      <c r="S7" s="1101"/>
      <c r="T7" s="1097"/>
      <c r="U7" s="1097"/>
      <c r="V7" s="1097"/>
      <c r="W7" s="1101"/>
      <c r="X7" s="1097"/>
      <c r="Y7" s="1097"/>
      <c r="Z7" s="1097"/>
      <c r="AA7" s="1097"/>
      <c r="AB7" s="1097"/>
      <c r="AC7" s="1097"/>
      <c r="AD7" s="1098"/>
      <c r="AE7" s="1102"/>
      <c r="AF7" s="1103"/>
      <c r="AG7" s="1104"/>
      <c r="AH7" s="1105"/>
      <c r="AI7" s="1106"/>
      <c r="AJ7" s="1057"/>
      <c r="AK7" s="1057"/>
      <c r="AL7" s="1059"/>
      <c r="AM7" s="1059"/>
      <c r="AN7" s="1059"/>
      <c r="AO7" s="1059"/>
      <c r="AP7" s="1107"/>
      <c r="AQ7" s="1108"/>
      <c r="AR7" s="1108"/>
    </row>
    <row r="8" spans="1:44">
      <c r="A8" s="1062">
        <v>1</v>
      </c>
      <c r="B8" s="448" t="s">
        <v>179</v>
      </c>
      <c r="C8" s="390">
        <v>351692557</v>
      </c>
      <c r="D8" s="390">
        <v>82224422</v>
      </c>
      <c r="E8" s="390">
        <f>C8-D8</f>
        <v>269468135</v>
      </c>
      <c r="F8" s="390">
        <v>251654112</v>
      </c>
      <c r="G8" s="1109">
        <f>(E8-F8)/F8</f>
        <v>7.0787728674189115E-2</v>
      </c>
      <c r="H8" s="1110">
        <f t="shared" ref="H8:H71" si="1">IF((E8-F8)/F8&gt;$H$5,F8*(1+$H$5),E8)</f>
        <v>269468135</v>
      </c>
      <c r="I8" s="1111">
        <v>5.14</v>
      </c>
      <c r="J8" s="1112">
        <v>1395509</v>
      </c>
      <c r="K8" s="1111">
        <v>20.03</v>
      </c>
      <c r="L8" s="1112">
        <v>5438133</v>
      </c>
      <c r="M8" s="1113">
        <v>0</v>
      </c>
      <c r="N8" s="1113">
        <v>13.45</v>
      </c>
      <c r="O8" s="1113">
        <v>2</v>
      </c>
      <c r="P8" s="1112">
        <v>897609</v>
      </c>
      <c r="Q8" s="390">
        <f>J8+L8+P8</f>
        <v>7731251</v>
      </c>
      <c r="R8" s="1114">
        <v>0</v>
      </c>
      <c r="S8" s="1112">
        <v>0</v>
      </c>
      <c r="T8" s="1113">
        <v>0</v>
      </c>
      <c r="U8" s="1113">
        <v>16.8</v>
      </c>
      <c r="V8" s="1113">
        <v>5</v>
      </c>
      <c r="W8" s="1112">
        <v>754015</v>
      </c>
      <c r="X8" s="390">
        <f>S8+W8</f>
        <v>754015</v>
      </c>
      <c r="Y8" s="1115">
        <f>I8+K8+R8</f>
        <v>25.17</v>
      </c>
      <c r="Z8" s="390">
        <f>J8+L8+S8</f>
        <v>6833642</v>
      </c>
      <c r="AA8" s="390">
        <f>P8+W8</f>
        <v>1651624</v>
      </c>
      <c r="AB8" s="1116">
        <f t="shared" ref="AB8:AB71" si="2">ROUND((X8/E8)*1000,2)</f>
        <v>2.8</v>
      </c>
      <c r="AC8" s="1117">
        <f t="shared" ref="AC8:AC71" si="3">ROUND((Q8/E8)*1000,2)</f>
        <v>28.69</v>
      </c>
      <c r="AD8" s="1118">
        <f t="shared" ref="AD8:AD71" si="4">ROUND((AE8/E8)*1000,2)</f>
        <v>31.49</v>
      </c>
      <c r="AE8" s="1066">
        <f>X8+Q8</f>
        <v>8485266</v>
      </c>
      <c r="AF8" s="1119">
        <v>1.4999999999999999E-2</v>
      </c>
      <c r="AG8" s="1067">
        <v>10130976</v>
      </c>
      <c r="AH8" s="1067">
        <v>0</v>
      </c>
      <c r="AI8" s="1120">
        <f>AG8+AH8</f>
        <v>10130976</v>
      </c>
      <c r="AJ8" s="1066">
        <v>682328600</v>
      </c>
      <c r="AK8" s="1066">
        <f t="shared" ref="AK8:AK18" si="5">ROUND(AI8/AF8,0)</f>
        <v>675398400</v>
      </c>
      <c r="AL8" s="1121">
        <f>(AK8-AJ8)/AJ8</f>
        <v>-1.0156689899851773E-2</v>
      </c>
      <c r="AM8" s="1122">
        <f>IF((AK8-AJ8)/AJ8&gt;$AM$5,AJ8*(1+$AM$5),AK8)</f>
        <v>675398400</v>
      </c>
      <c r="AN8" s="1123">
        <f t="shared" ref="AN8:AN71" si="6">AG8/AK8</f>
        <v>1.4999999999999999E-2</v>
      </c>
      <c r="AO8" s="1123">
        <f t="shared" ref="AO8:AO71" si="7">AH8/AK8</f>
        <v>0</v>
      </c>
      <c r="AP8" s="1066">
        <v>431161</v>
      </c>
      <c r="AQ8" s="1066">
        <f t="shared" ref="AQ8:AQ71" si="8">AP8+AE8+AI8</f>
        <v>19047403</v>
      </c>
      <c r="AR8" s="1066">
        <f>ROUND(AQ8/'Table 3 Levels 1&amp;2'!C8,2)</f>
        <v>2080.77</v>
      </c>
    </row>
    <row r="9" spans="1:44">
      <c r="A9" s="1062">
        <v>2</v>
      </c>
      <c r="B9" s="448" t="s">
        <v>180</v>
      </c>
      <c r="C9" s="390">
        <v>100446550</v>
      </c>
      <c r="D9" s="390">
        <v>25246822</v>
      </c>
      <c r="E9" s="390">
        <f t="shared" ref="E9:E72" si="9">C9-D9</f>
        <v>75199728</v>
      </c>
      <c r="F9" s="390">
        <v>75110793</v>
      </c>
      <c r="G9" s="1109">
        <f t="shared" ref="G9:G72" si="10">(E9-F9)/F9</f>
        <v>1.184050872688829E-3</v>
      </c>
      <c r="H9" s="1110">
        <f t="shared" si="1"/>
        <v>75199728</v>
      </c>
      <c r="I9" s="1111">
        <v>4.26</v>
      </c>
      <c r="J9" s="1112">
        <v>308105</v>
      </c>
      <c r="K9" s="1111">
        <v>5.13</v>
      </c>
      <c r="L9" s="1112">
        <v>371028</v>
      </c>
      <c r="M9" s="1113">
        <v>12.89</v>
      </c>
      <c r="N9" s="1113">
        <v>89.78</v>
      </c>
      <c r="O9" s="1113">
        <v>6</v>
      </c>
      <c r="P9" s="1112">
        <v>1435369</v>
      </c>
      <c r="Q9" s="390">
        <f t="shared" ref="Q9:Q72" si="11">J9+L9+P9</f>
        <v>2114502</v>
      </c>
      <c r="R9" s="1113">
        <v>0</v>
      </c>
      <c r="S9" s="1112">
        <v>0</v>
      </c>
      <c r="T9" s="1113">
        <v>7</v>
      </c>
      <c r="U9" s="1113">
        <v>40</v>
      </c>
      <c r="V9" s="1113">
        <v>5</v>
      </c>
      <c r="W9" s="1112">
        <v>1437886</v>
      </c>
      <c r="X9" s="390">
        <f t="shared" ref="X9:X72" si="12">S9+W9</f>
        <v>1437886</v>
      </c>
      <c r="Y9" s="1115">
        <f t="shared" ref="Y9:Z72" si="13">I9+K9+R9</f>
        <v>9.39</v>
      </c>
      <c r="Z9" s="390">
        <f t="shared" si="13"/>
        <v>679133</v>
      </c>
      <c r="AA9" s="390">
        <f t="shared" ref="AA9:AA72" si="14">P9+W9</f>
        <v>2873255</v>
      </c>
      <c r="AB9" s="1116">
        <f t="shared" si="2"/>
        <v>19.12</v>
      </c>
      <c r="AC9" s="1117">
        <f t="shared" si="3"/>
        <v>28.12</v>
      </c>
      <c r="AD9" s="1118">
        <f t="shared" si="4"/>
        <v>47.24</v>
      </c>
      <c r="AE9" s="1066">
        <f t="shared" ref="AE9:AE72" si="15">X9+Q9</f>
        <v>3552388</v>
      </c>
      <c r="AF9" s="1119">
        <v>0.03</v>
      </c>
      <c r="AG9" s="1067">
        <v>6257477</v>
      </c>
      <c r="AH9" s="1067">
        <v>0</v>
      </c>
      <c r="AI9" s="1120">
        <f t="shared" ref="AI9:AI72" si="16">AG9+AH9</f>
        <v>6257477</v>
      </c>
      <c r="AJ9" s="1066">
        <v>239010967</v>
      </c>
      <c r="AK9" s="1066">
        <f t="shared" si="5"/>
        <v>208582567</v>
      </c>
      <c r="AL9" s="1121">
        <f t="shared" ref="AL9:AL72" si="17">(AK9-AJ9)/AJ9</f>
        <v>-0.12730963931040035</v>
      </c>
      <c r="AM9" s="1122">
        <f t="shared" ref="AM9:AM72" si="18">IF((AK9-AJ9)/AJ9&gt;$AM$5,AJ9*(1+$AM$5),AK9)</f>
        <v>208582567</v>
      </c>
      <c r="AN9" s="1123">
        <f t="shared" si="6"/>
        <v>2.9999999952057356E-2</v>
      </c>
      <c r="AO9" s="1123">
        <f t="shared" si="7"/>
        <v>0</v>
      </c>
      <c r="AP9" s="1066">
        <v>103254.5</v>
      </c>
      <c r="AQ9" s="1066">
        <f t="shared" si="8"/>
        <v>9913119.5</v>
      </c>
      <c r="AR9" s="1066">
        <f>ROUND(AQ9/'Table 3 Levels 1&amp;2'!C9,2)</f>
        <v>2454.35</v>
      </c>
    </row>
    <row r="10" spans="1:44">
      <c r="A10" s="1062">
        <v>3</v>
      </c>
      <c r="B10" s="448" t="s">
        <v>181</v>
      </c>
      <c r="C10" s="390">
        <v>1011800000</v>
      </c>
      <c r="D10" s="390">
        <v>184660360</v>
      </c>
      <c r="E10" s="390">
        <f t="shared" si="9"/>
        <v>827139640</v>
      </c>
      <c r="F10" s="390">
        <v>777816210</v>
      </c>
      <c r="G10" s="1109">
        <f t="shared" si="10"/>
        <v>6.3412705168487044E-2</v>
      </c>
      <c r="H10" s="1110">
        <f t="shared" si="1"/>
        <v>827139640</v>
      </c>
      <c r="I10" s="1111">
        <v>3.61</v>
      </c>
      <c r="J10" s="1112">
        <v>2967951</v>
      </c>
      <c r="K10" s="1111">
        <v>42.9</v>
      </c>
      <c r="L10" s="1112">
        <v>35182413</v>
      </c>
      <c r="M10" s="1113">
        <v>0</v>
      </c>
      <c r="N10" s="1113">
        <v>0</v>
      </c>
      <c r="O10" s="1113">
        <v>0</v>
      </c>
      <c r="P10" s="1112">
        <v>0</v>
      </c>
      <c r="Q10" s="390">
        <f t="shared" si="11"/>
        <v>38150364</v>
      </c>
      <c r="R10" s="1113">
        <v>15.08</v>
      </c>
      <c r="S10" s="1112">
        <v>12534684</v>
      </c>
      <c r="T10" s="1113">
        <v>0</v>
      </c>
      <c r="U10" s="1113">
        <v>0</v>
      </c>
      <c r="V10" s="1113">
        <v>0</v>
      </c>
      <c r="W10" s="1112">
        <v>0</v>
      </c>
      <c r="X10" s="390">
        <f t="shared" si="12"/>
        <v>12534684</v>
      </c>
      <c r="Y10" s="1115">
        <f t="shared" si="13"/>
        <v>61.589999999999996</v>
      </c>
      <c r="Z10" s="390">
        <f t="shared" si="13"/>
        <v>50685048</v>
      </c>
      <c r="AA10" s="390">
        <f t="shared" si="14"/>
        <v>0</v>
      </c>
      <c r="AB10" s="1116">
        <f t="shared" si="2"/>
        <v>15.15</v>
      </c>
      <c r="AC10" s="1117">
        <f t="shared" si="3"/>
        <v>46.12</v>
      </c>
      <c r="AD10" s="1118">
        <f t="shared" si="4"/>
        <v>61.28</v>
      </c>
      <c r="AE10" s="1066">
        <f t="shared" si="15"/>
        <v>50685048</v>
      </c>
      <c r="AF10" s="1119">
        <v>0.02</v>
      </c>
      <c r="AG10" s="1067">
        <v>44806511</v>
      </c>
      <c r="AH10" s="1067">
        <v>0</v>
      </c>
      <c r="AI10" s="1120">
        <f t="shared" si="16"/>
        <v>44806511</v>
      </c>
      <c r="AJ10" s="1066">
        <v>2390015500</v>
      </c>
      <c r="AK10" s="1066">
        <f t="shared" si="5"/>
        <v>2240325550</v>
      </c>
      <c r="AL10" s="1121">
        <f t="shared" si="17"/>
        <v>-6.2631372055955287E-2</v>
      </c>
      <c r="AM10" s="1122">
        <f t="shared" si="18"/>
        <v>2240325550</v>
      </c>
      <c r="AN10" s="1123">
        <f t="shared" si="6"/>
        <v>0.02</v>
      </c>
      <c r="AO10" s="1123">
        <f t="shared" si="7"/>
        <v>0</v>
      </c>
      <c r="AP10" s="1066">
        <v>190231</v>
      </c>
      <c r="AQ10" s="1066">
        <f t="shared" si="8"/>
        <v>95681790</v>
      </c>
      <c r="AR10" s="1066">
        <f>ROUND(AQ10/'Table 3 Levels 1&amp;2'!C10,2)</f>
        <v>4904.49</v>
      </c>
    </row>
    <row r="11" spans="1:44">
      <c r="A11" s="1062">
        <v>4</v>
      </c>
      <c r="B11" s="448" t="s">
        <v>182</v>
      </c>
      <c r="C11" s="390">
        <v>158150460</v>
      </c>
      <c r="D11" s="390">
        <v>35658637</v>
      </c>
      <c r="E11" s="390">
        <f t="shared" si="9"/>
        <v>122491823</v>
      </c>
      <c r="F11" s="390">
        <v>128909109</v>
      </c>
      <c r="G11" s="1109">
        <f t="shared" si="10"/>
        <v>-4.9781478204150804E-2</v>
      </c>
      <c r="H11" s="1110">
        <f t="shared" si="1"/>
        <v>122491823</v>
      </c>
      <c r="I11" s="1111">
        <v>5.49</v>
      </c>
      <c r="J11" s="1112">
        <v>670203</v>
      </c>
      <c r="K11" s="1111">
        <v>33.880000000000003</v>
      </c>
      <c r="L11" s="1112">
        <v>4135982</v>
      </c>
      <c r="M11" s="1113">
        <v>0</v>
      </c>
      <c r="N11" s="1113">
        <v>0</v>
      </c>
      <c r="O11" s="1113">
        <v>1</v>
      </c>
      <c r="P11" s="1112">
        <v>0</v>
      </c>
      <c r="Q11" s="390">
        <f t="shared" si="11"/>
        <v>4806185</v>
      </c>
      <c r="R11" s="1113">
        <v>0</v>
      </c>
      <c r="S11" s="1112">
        <v>28</v>
      </c>
      <c r="T11" s="1113">
        <v>0</v>
      </c>
      <c r="U11" s="1113">
        <v>0</v>
      </c>
      <c r="V11" s="1113">
        <v>1</v>
      </c>
      <c r="W11" s="1112">
        <v>0</v>
      </c>
      <c r="X11" s="390">
        <f t="shared" si="12"/>
        <v>28</v>
      </c>
      <c r="Y11" s="1115">
        <f t="shared" si="13"/>
        <v>39.370000000000005</v>
      </c>
      <c r="Z11" s="390">
        <f t="shared" si="13"/>
        <v>4806213</v>
      </c>
      <c r="AA11" s="390">
        <f t="shared" si="14"/>
        <v>0</v>
      </c>
      <c r="AB11" s="1116">
        <f t="shared" si="2"/>
        <v>0</v>
      </c>
      <c r="AC11" s="1117">
        <f t="shared" si="3"/>
        <v>39.24</v>
      </c>
      <c r="AD11" s="1118">
        <f t="shared" si="4"/>
        <v>39.24</v>
      </c>
      <c r="AE11" s="1066">
        <f t="shared" si="15"/>
        <v>4806213</v>
      </c>
      <c r="AF11" s="1119">
        <v>0.03</v>
      </c>
      <c r="AG11" s="1067">
        <v>4391008</v>
      </c>
      <c r="AH11" s="1067">
        <v>878380</v>
      </c>
      <c r="AI11" s="1120">
        <f t="shared" si="16"/>
        <v>5269388</v>
      </c>
      <c r="AJ11" s="1066">
        <v>208229000</v>
      </c>
      <c r="AK11" s="1066">
        <f t="shared" si="5"/>
        <v>175646267</v>
      </c>
      <c r="AL11" s="1121">
        <f t="shared" si="17"/>
        <v>-0.15647548132104558</v>
      </c>
      <c r="AM11" s="1122">
        <f t="shared" si="18"/>
        <v>175646267</v>
      </c>
      <c r="AN11" s="1123">
        <f t="shared" si="6"/>
        <v>2.4999153554456126E-2</v>
      </c>
      <c r="AO11" s="1123">
        <f t="shared" si="7"/>
        <v>5.0008463886112653E-3</v>
      </c>
      <c r="AP11" s="1066">
        <v>117116.5</v>
      </c>
      <c r="AQ11" s="1066">
        <f t="shared" si="8"/>
        <v>10192717.5</v>
      </c>
      <c r="AR11" s="1066">
        <f>ROUND(AQ11/'Table 3 Levels 1&amp;2'!C11,2)</f>
        <v>2866.34</v>
      </c>
    </row>
    <row r="12" spans="1:44">
      <c r="A12" s="1064">
        <v>5</v>
      </c>
      <c r="B12" s="1124" t="s">
        <v>183</v>
      </c>
      <c r="C12" s="409">
        <v>150440440</v>
      </c>
      <c r="D12" s="409">
        <v>55846708</v>
      </c>
      <c r="E12" s="409">
        <f t="shared" si="9"/>
        <v>94593732</v>
      </c>
      <c r="F12" s="409">
        <v>91230199</v>
      </c>
      <c r="G12" s="1125">
        <f t="shared" si="10"/>
        <v>3.6868636009442443E-2</v>
      </c>
      <c r="H12" s="1126">
        <f t="shared" si="1"/>
        <v>94593732</v>
      </c>
      <c r="I12" s="1127">
        <v>3.62</v>
      </c>
      <c r="J12" s="1128">
        <v>340092</v>
      </c>
      <c r="K12" s="1127">
        <v>10</v>
      </c>
      <c r="L12" s="1128">
        <v>939276</v>
      </c>
      <c r="M12" s="1129">
        <v>0</v>
      </c>
      <c r="N12" s="1129">
        <v>0</v>
      </c>
      <c r="O12" s="1129">
        <v>0</v>
      </c>
      <c r="P12" s="1128">
        <v>0</v>
      </c>
      <c r="Q12" s="409">
        <f t="shared" si="11"/>
        <v>1279368</v>
      </c>
      <c r="R12" s="1129">
        <v>0</v>
      </c>
      <c r="S12" s="1128">
        <v>0</v>
      </c>
      <c r="T12" s="1129">
        <v>2.2999999999999998</v>
      </c>
      <c r="U12" s="1129">
        <v>2.2999999999999998</v>
      </c>
      <c r="V12" s="1129">
        <v>1</v>
      </c>
      <c r="W12" s="1128">
        <v>56985</v>
      </c>
      <c r="X12" s="409">
        <f t="shared" si="12"/>
        <v>56985</v>
      </c>
      <c r="Y12" s="1130">
        <f t="shared" si="13"/>
        <v>13.620000000000001</v>
      </c>
      <c r="Z12" s="409">
        <f t="shared" si="13"/>
        <v>1279368</v>
      </c>
      <c r="AA12" s="409">
        <f t="shared" si="14"/>
        <v>56985</v>
      </c>
      <c r="AB12" s="1131">
        <f t="shared" si="2"/>
        <v>0.6</v>
      </c>
      <c r="AC12" s="1132">
        <f t="shared" si="3"/>
        <v>13.52</v>
      </c>
      <c r="AD12" s="1133">
        <f t="shared" si="4"/>
        <v>14.13</v>
      </c>
      <c r="AE12" s="1069">
        <f t="shared" si="15"/>
        <v>1336353</v>
      </c>
      <c r="AF12" s="1134">
        <v>1.4999999999999999E-2</v>
      </c>
      <c r="AG12" s="1070">
        <v>5699274</v>
      </c>
      <c r="AH12" s="1070">
        <v>0</v>
      </c>
      <c r="AI12" s="1135">
        <f t="shared" si="16"/>
        <v>5699274</v>
      </c>
      <c r="AJ12" s="1069">
        <v>398541467</v>
      </c>
      <c r="AK12" s="1069">
        <f t="shared" si="5"/>
        <v>379951600</v>
      </c>
      <c r="AL12" s="1136">
        <f t="shared" si="17"/>
        <v>-4.664474976702989E-2</v>
      </c>
      <c r="AM12" s="1137">
        <f t="shared" si="18"/>
        <v>379951600</v>
      </c>
      <c r="AN12" s="1138">
        <f t="shared" si="6"/>
        <v>1.4999999999999999E-2</v>
      </c>
      <c r="AO12" s="1138">
        <f t="shared" si="7"/>
        <v>0</v>
      </c>
      <c r="AP12" s="1069">
        <v>259151.5</v>
      </c>
      <c r="AQ12" s="1069">
        <f t="shared" si="8"/>
        <v>7294778.5</v>
      </c>
      <c r="AR12" s="1069">
        <f>ROUND(AQ12/'Table 3 Levels 1&amp;2'!C12,2)</f>
        <v>1257.29</v>
      </c>
    </row>
    <row r="13" spans="1:44">
      <c r="A13" s="1062">
        <v>6</v>
      </c>
      <c r="B13" s="448" t="s">
        <v>184</v>
      </c>
      <c r="C13" s="390">
        <v>240069123</v>
      </c>
      <c r="D13" s="390">
        <v>49441533</v>
      </c>
      <c r="E13" s="390">
        <f t="shared" si="9"/>
        <v>190627590</v>
      </c>
      <c r="F13" s="390">
        <v>181923915</v>
      </c>
      <c r="G13" s="1109">
        <f t="shared" si="10"/>
        <v>4.7842390594991319E-2</v>
      </c>
      <c r="H13" s="1110">
        <f t="shared" si="1"/>
        <v>190627590</v>
      </c>
      <c r="I13" s="1111">
        <v>4.37</v>
      </c>
      <c r="J13" s="1112">
        <v>874199</v>
      </c>
      <c r="K13" s="1111">
        <v>27.18</v>
      </c>
      <c r="L13" s="1112">
        <v>5321066</v>
      </c>
      <c r="M13" s="1113">
        <v>0</v>
      </c>
      <c r="N13" s="1113">
        <v>0</v>
      </c>
      <c r="O13" s="1113">
        <v>0</v>
      </c>
      <c r="P13" s="1112">
        <v>0</v>
      </c>
      <c r="Q13" s="390">
        <f t="shared" si="11"/>
        <v>6195265</v>
      </c>
      <c r="R13" s="1113">
        <v>17.8</v>
      </c>
      <c r="S13" s="1112">
        <v>3227869</v>
      </c>
      <c r="T13" s="1113">
        <v>0</v>
      </c>
      <c r="U13" s="1113">
        <v>0</v>
      </c>
      <c r="V13" s="1113">
        <v>0</v>
      </c>
      <c r="W13" s="1112">
        <v>0</v>
      </c>
      <c r="X13" s="390">
        <f t="shared" si="12"/>
        <v>3227869</v>
      </c>
      <c r="Y13" s="1115">
        <f t="shared" si="13"/>
        <v>49.35</v>
      </c>
      <c r="Z13" s="390">
        <f t="shared" si="13"/>
        <v>9423134</v>
      </c>
      <c r="AA13" s="390">
        <f t="shared" si="14"/>
        <v>0</v>
      </c>
      <c r="AB13" s="1116">
        <f t="shared" si="2"/>
        <v>16.93</v>
      </c>
      <c r="AC13" s="1117">
        <f t="shared" si="3"/>
        <v>32.5</v>
      </c>
      <c r="AD13" s="1118">
        <f t="shared" si="4"/>
        <v>49.43</v>
      </c>
      <c r="AE13" s="1066">
        <f t="shared" si="15"/>
        <v>9423134</v>
      </c>
      <c r="AF13" s="1119">
        <v>0.02</v>
      </c>
      <c r="AG13" s="1067">
        <v>8277002</v>
      </c>
      <c r="AH13" s="1067">
        <v>0</v>
      </c>
      <c r="AI13" s="1120">
        <f t="shared" si="16"/>
        <v>8277002</v>
      </c>
      <c r="AJ13" s="1066">
        <v>443706350</v>
      </c>
      <c r="AK13" s="1066">
        <f t="shared" si="5"/>
        <v>413850100</v>
      </c>
      <c r="AL13" s="1121">
        <f t="shared" si="17"/>
        <v>-6.7288309035919813E-2</v>
      </c>
      <c r="AM13" s="1122">
        <f t="shared" si="18"/>
        <v>413850100</v>
      </c>
      <c r="AN13" s="1123">
        <f t="shared" si="6"/>
        <v>0.02</v>
      </c>
      <c r="AO13" s="1123">
        <f t="shared" si="7"/>
        <v>0</v>
      </c>
      <c r="AP13" s="1066">
        <v>13</v>
      </c>
      <c r="AQ13" s="1066">
        <f t="shared" si="8"/>
        <v>17700149</v>
      </c>
      <c r="AR13" s="1066">
        <f>ROUND(AQ13/'Table 3 Levels 1&amp;2'!C13,2)</f>
        <v>2930</v>
      </c>
    </row>
    <row r="14" spans="1:44">
      <c r="A14" s="1062">
        <v>7</v>
      </c>
      <c r="B14" s="448" t="s">
        <v>185</v>
      </c>
      <c r="C14" s="390">
        <v>318179480</v>
      </c>
      <c r="D14" s="390">
        <v>15093343</v>
      </c>
      <c r="E14" s="390">
        <f t="shared" si="9"/>
        <v>303086137</v>
      </c>
      <c r="F14" s="390">
        <v>278368427</v>
      </c>
      <c r="G14" s="1109">
        <f t="shared" si="10"/>
        <v>8.879494799889788E-2</v>
      </c>
      <c r="H14" s="1110">
        <f t="shared" si="1"/>
        <v>303086137</v>
      </c>
      <c r="I14" s="1111">
        <v>5.74</v>
      </c>
      <c r="J14" s="1112">
        <v>1672371</v>
      </c>
      <c r="K14" s="1111">
        <v>47.05</v>
      </c>
      <c r="L14" s="1112">
        <v>13631254</v>
      </c>
      <c r="M14" s="1113">
        <v>0</v>
      </c>
      <c r="N14" s="1113">
        <v>0</v>
      </c>
      <c r="O14" s="1113">
        <v>0</v>
      </c>
      <c r="P14" s="1112">
        <v>0</v>
      </c>
      <c r="Q14" s="390">
        <f t="shared" si="11"/>
        <v>15303625</v>
      </c>
      <c r="R14" s="1113">
        <v>0</v>
      </c>
      <c r="S14" s="1112">
        <v>0</v>
      </c>
      <c r="T14" s="1113">
        <v>6.3</v>
      </c>
      <c r="U14" s="1113">
        <v>23.5</v>
      </c>
      <c r="V14" s="1113">
        <v>7</v>
      </c>
      <c r="W14" s="1112">
        <v>1201836</v>
      </c>
      <c r="X14" s="390">
        <f t="shared" si="12"/>
        <v>1201836</v>
      </c>
      <c r="Y14" s="1115">
        <f t="shared" si="13"/>
        <v>52.79</v>
      </c>
      <c r="Z14" s="390">
        <f t="shared" si="13"/>
        <v>15303625</v>
      </c>
      <c r="AA14" s="390">
        <f t="shared" si="14"/>
        <v>1201836</v>
      </c>
      <c r="AB14" s="1116">
        <f t="shared" si="2"/>
        <v>3.97</v>
      </c>
      <c r="AC14" s="1117">
        <f t="shared" si="3"/>
        <v>50.49</v>
      </c>
      <c r="AD14" s="1118">
        <f t="shared" si="4"/>
        <v>54.46</v>
      </c>
      <c r="AE14" s="1066">
        <f t="shared" si="15"/>
        <v>16505461</v>
      </c>
      <c r="AF14" s="1119">
        <v>0.02</v>
      </c>
      <c r="AG14" s="1067">
        <v>11861307</v>
      </c>
      <c r="AH14" s="1067">
        <v>0</v>
      </c>
      <c r="AI14" s="1120">
        <f t="shared" si="16"/>
        <v>11861307</v>
      </c>
      <c r="AJ14" s="1066">
        <v>413926200</v>
      </c>
      <c r="AK14" s="1066">
        <f t="shared" si="5"/>
        <v>593065350</v>
      </c>
      <c r="AL14" s="1139">
        <f t="shared" si="17"/>
        <v>0.4327804086815476</v>
      </c>
      <c r="AM14" s="1140">
        <f t="shared" si="18"/>
        <v>476015129.99999994</v>
      </c>
      <c r="AN14" s="1123">
        <f t="shared" si="6"/>
        <v>0.02</v>
      </c>
      <c r="AO14" s="1123">
        <f t="shared" si="7"/>
        <v>0</v>
      </c>
      <c r="AP14" s="1066">
        <v>142178</v>
      </c>
      <c r="AQ14" s="1066">
        <f t="shared" si="8"/>
        <v>28508946</v>
      </c>
      <c r="AR14" s="1066">
        <f>ROUND(AQ14/'Table 3 Levels 1&amp;2'!C14,2)</f>
        <v>12952.72</v>
      </c>
    </row>
    <row r="15" spans="1:44">
      <c r="A15" s="1062">
        <v>8</v>
      </c>
      <c r="B15" s="448" t="s">
        <v>186</v>
      </c>
      <c r="C15" s="390">
        <v>978967440</v>
      </c>
      <c r="D15" s="390">
        <v>176553781</v>
      </c>
      <c r="E15" s="390">
        <f t="shared" si="9"/>
        <v>802413659</v>
      </c>
      <c r="F15" s="390">
        <v>727792888</v>
      </c>
      <c r="G15" s="1141">
        <f t="shared" si="10"/>
        <v>0.10253022835254746</v>
      </c>
      <c r="H15" s="1142">
        <f t="shared" si="1"/>
        <v>800572176.80000007</v>
      </c>
      <c r="I15" s="1111">
        <v>3.27</v>
      </c>
      <c r="J15" s="1112">
        <v>2522979</v>
      </c>
      <c r="K15" s="1111">
        <v>35.44</v>
      </c>
      <c r="L15" s="1112">
        <v>27343131</v>
      </c>
      <c r="M15" s="1113">
        <v>0</v>
      </c>
      <c r="N15" s="1113">
        <v>0</v>
      </c>
      <c r="O15" s="1113">
        <v>0</v>
      </c>
      <c r="P15" s="1112">
        <v>0</v>
      </c>
      <c r="Q15" s="390">
        <f t="shared" si="11"/>
        <v>29866110</v>
      </c>
      <c r="R15" s="1113">
        <v>0</v>
      </c>
      <c r="S15" s="1112">
        <v>0</v>
      </c>
      <c r="T15" s="1113">
        <v>13.55</v>
      </c>
      <c r="U15" s="1113">
        <v>13.55</v>
      </c>
      <c r="V15" s="1113">
        <v>1</v>
      </c>
      <c r="W15" s="1112">
        <v>10452790</v>
      </c>
      <c r="X15" s="390">
        <f t="shared" si="12"/>
        <v>10452790</v>
      </c>
      <c r="Y15" s="1115">
        <f t="shared" si="13"/>
        <v>38.71</v>
      </c>
      <c r="Z15" s="390">
        <f t="shared" si="13"/>
        <v>29866110</v>
      </c>
      <c r="AA15" s="390">
        <f t="shared" si="14"/>
        <v>10452790</v>
      </c>
      <c r="AB15" s="1116">
        <f t="shared" si="2"/>
        <v>13.03</v>
      </c>
      <c r="AC15" s="1117">
        <f t="shared" si="3"/>
        <v>37.22</v>
      </c>
      <c r="AD15" s="1118">
        <f t="shared" si="4"/>
        <v>50.25</v>
      </c>
      <c r="AE15" s="1066">
        <f t="shared" si="15"/>
        <v>40318900</v>
      </c>
      <c r="AF15" s="1119">
        <v>1.7500000000000002E-2</v>
      </c>
      <c r="AG15" s="1067">
        <v>44443526</v>
      </c>
      <c r="AH15" s="1067">
        <v>0</v>
      </c>
      <c r="AI15" s="1120">
        <f t="shared" si="16"/>
        <v>44443526</v>
      </c>
      <c r="AJ15" s="1066">
        <v>2506998800</v>
      </c>
      <c r="AK15" s="1066">
        <f t="shared" si="5"/>
        <v>2539630057</v>
      </c>
      <c r="AL15" s="1121">
        <f t="shared" si="17"/>
        <v>1.3016064068319459E-2</v>
      </c>
      <c r="AM15" s="1122">
        <f t="shared" si="18"/>
        <v>2539630057</v>
      </c>
      <c r="AN15" s="1123">
        <f t="shared" si="6"/>
        <v>1.7500000000984395E-2</v>
      </c>
      <c r="AO15" s="1123">
        <f t="shared" si="7"/>
        <v>0</v>
      </c>
      <c r="AP15" s="1066">
        <v>624830.5</v>
      </c>
      <c r="AQ15" s="1066">
        <f t="shared" si="8"/>
        <v>85387256.5</v>
      </c>
      <c r="AR15" s="1066">
        <f>ROUND(AQ15/'Table 3 Levels 1&amp;2'!C15,2)</f>
        <v>4205.8500000000004</v>
      </c>
    </row>
    <row r="16" spans="1:44">
      <c r="A16" s="1062">
        <v>9</v>
      </c>
      <c r="B16" s="448" t="s">
        <v>77</v>
      </c>
      <c r="C16" s="390">
        <v>1742883830</v>
      </c>
      <c r="D16" s="390">
        <v>342555070</v>
      </c>
      <c r="E16" s="390">
        <f t="shared" si="9"/>
        <v>1400328760</v>
      </c>
      <c r="F16" s="390">
        <v>1365884640</v>
      </c>
      <c r="G16" s="1109">
        <f t="shared" si="10"/>
        <v>2.5217444424882031E-2</v>
      </c>
      <c r="H16" s="1110">
        <f t="shared" si="1"/>
        <v>1400328760</v>
      </c>
      <c r="I16" s="1111">
        <v>7.96</v>
      </c>
      <c r="J16" s="1112">
        <v>10815537</v>
      </c>
      <c r="K16" s="1111">
        <v>62.64</v>
      </c>
      <c r="L16" s="1112">
        <v>85110245</v>
      </c>
      <c r="M16" s="1113">
        <v>0</v>
      </c>
      <c r="N16" s="1113">
        <v>0</v>
      </c>
      <c r="O16" s="1113">
        <v>0</v>
      </c>
      <c r="P16" s="1112">
        <v>0</v>
      </c>
      <c r="Q16" s="390">
        <f t="shared" si="11"/>
        <v>95925782</v>
      </c>
      <c r="R16" s="1113">
        <v>7.6</v>
      </c>
      <c r="S16" s="1112">
        <v>10326013</v>
      </c>
      <c r="T16" s="1113">
        <v>0</v>
      </c>
      <c r="U16" s="1113">
        <v>0</v>
      </c>
      <c r="V16" s="1113">
        <v>0</v>
      </c>
      <c r="W16" s="1112">
        <v>0</v>
      </c>
      <c r="X16" s="390">
        <f t="shared" si="12"/>
        <v>10326013</v>
      </c>
      <c r="Y16" s="1115">
        <f t="shared" si="13"/>
        <v>78.199999999999989</v>
      </c>
      <c r="Z16" s="390">
        <f t="shared" si="13"/>
        <v>106251795</v>
      </c>
      <c r="AA16" s="390">
        <f t="shared" si="14"/>
        <v>0</v>
      </c>
      <c r="AB16" s="1116">
        <f t="shared" si="2"/>
        <v>7.37</v>
      </c>
      <c r="AC16" s="1117">
        <f t="shared" si="3"/>
        <v>68.5</v>
      </c>
      <c r="AD16" s="1118">
        <f t="shared" si="4"/>
        <v>75.88</v>
      </c>
      <c r="AE16" s="1066">
        <f t="shared" si="15"/>
        <v>106251795</v>
      </c>
      <c r="AF16" s="1119">
        <v>1.4999999999999999E-2</v>
      </c>
      <c r="AG16" s="1067">
        <v>74861727</v>
      </c>
      <c r="AH16" s="1067">
        <v>0</v>
      </c>
      <c r="AI16" s="1120">
        <f t="shared" si="16"/>
        <v>74861727</v>
      </c>
      <c r="AJ16" s="1066">
        <v>5045776600</v>
      </c>
      <c r="AK16" s="1066">
        <f t="shared" si="5"/>
        <v>4990781800</v>
      </c>
      <c r="AL16" s="1121">
        <f t="shared" si="17"/>
        <v>-1.0899174569084171E-2</v>
      </c>
      <c r="AM16" s="1122">
        <f t="shared" si="18"/>
        <v>4990781800</v>
      </c>
      <c r="AN16" s="1123">
        <f t="shared" si="6"/>
        <v>1.4999999999999999E-2</v>
      </c>
      <c r="AO16" s="1123">
        <f t="shared" si="7"/>
        <v>0</v>
      </c>
      <c r="AP16" s="1066">
        <v>2590018</v>
      </c>
      <c r="AQ16" s="1066">
        <f t="shared" si="8"/>
        <v>183703540</v>
      </c>
      <c r="AR16" s="1066">
        <f>ROUND(AQ16/'Table 3 Levels 1&amp;2'!C16,2)</f>
        <v>4436</v>
      </c>
    </row>
    <row r="17" spans="1:44">
      <c r="A17" s="1064">
        <v>10</v>
      </c>
      <c r="B17" s="1124" t="s">
        <v>187</v>
      </c>
      <c r="C17" s="409">
        <v>1698828540</v>
      </c>
      <c r="D17" s="409">
        <v>270598841</v>
      </c>
      <c r="E17" s="409">
        <f t="shared" si="9"/>
        <v>1428229699</v>
      </c>
      <c r="F17" s="409">
        <v>1318033796</v>
      </c>
      <c r="G17" s="1125">
        <f t="shared" si="10"/>
        <v>8.3606280305122016E-2</v>
      </c>
      <c r="H17" s="1126">
        <f t="shared" si="1"/>
        <v>1428229699</v>
      </c>
      <c r="I17" s="1127">
        <v>5.57</v>
      </c>
      <c r="J17" s="1128">
        <v>7785899</v>
      </c>
      <c r="K17" s="1127">
        <v>13.15</v>
      </c>
      <c r="L17" s="1128">
        <v>18387156</v>
      </c>
      <c r="M17" s="1129">
        <v>9.8699999999999992</v>
      </c>
      <c r="N17" s="1129">
        <v>9.8699999999999992</v>
      </c>
      <c r="O17" s="1129">
        <v>1</v>
      </c>
      <c r="P17" s="1128">
        <v>129702</v>
      </c>
      <c r="Q17" s="409">
        <f t="shared" si="11"/>
        <v>26302757</v>
      </c>
      <c r="R17" s="1129">
        <v>0</v>
      </c>
      <c r="S17" s="1128">
        <v>0</v>
      </c>
      <c r="T17" s="1129">
        <v>1.3</v>
      </c>
      <c r="U17" s="1129">
        <v>28</v>
      </c>
      <c r="V17" s="1129">
        <v>11</v>
      </c>
      <c r="W17" s="1128">
        <v>21483102</v>
      </c>
      <c r="X17" s="409">
        <f t="shared" si="12"/>
        <v>21483102</v>
      </c>
      <c r="Y17" s="1130">
        <f t="shared" si="13"/>
        <v>18.72</v>
      </c>
      <c r="Z17" s="409">
        <f t="shared" si="13"/>
        <v>26173055</v>
      </c>
      <c r="AA17" s="409">
        <f t="shared" si="14"/>
        <v>21612804</v>
      </c>
      <c r="AB17" s="1131">
        <f t="shared" si="2"/>
        <v>15.04</v>
      </c>
      <c r="AC17" s="1132">
        <f t="shared" si="3"/>
        <v>18.420000000000002</v>
      </c>
      <c r="AD17" s="1133">
        <f t="shared" si="4"/>
        <v>33.46</v>
      </c>
      <c r="AE17" s="1069">
        <f t="shared" si="15"/>
        <v>47785859</v>
      </c>
      <c r="AF17" s="1134">
        <v>0.02</v>
      </c>
      <c r="AG17" s="1070">
        <v>80964276</v>
      </c>
      <c r="AH17" s="1070">
        <v>0</v>
      </c>
      <c r="AI17" s="1135">
        <f t="shared" si="16"/>
        <v>80964276</v>
      </c>
      <c r="AJ17" s="1069">
        <v>4675904350</v>
      </c>
      <c r="AK17" s="1069">
        <f t="shared" si="5"/>
        <v>4048213800</v>
      </c>
      <c r="AL17" s="1136">
        <f t="shared" si="17"/>
        <v>-0.13423939050421338</v>
      </c>
      <c r="AM17" s="1137">
        <f t="shared" si="18"/>
        <v>4048213800</v>
      </c>
      <c r="AN17" s="1138">
        <f t="shared" si="6"/>
        <v>0.02</v>
      </c>
      <c r="AO17" s="1138">
        <f t="shared" si="7"/>
        <v>0</v>
      </c>
      <c r="AP17" s="1069">
        <v>998095</v>
      </c>
      <c r="AQ17" s="1069">
        <f t="shared" si="8"/>
        <v>129748230</v>
      </c>
      <c r="AR17" s="1069">
        <f>ROUND(AQ17/'Table 3 Levels 1&amp;2'!C17,2)</f>
        <v>4136.0600000000004</v>
      </c>
    </row>
    <row r="18" spans="1:44">
      <c r="A18" s="1062">
        <v>11</v>
      </c>
      <c r="B18" s="448" t="s">
        <v>188</v>
      </c>
      <c r="C18" s="390">
        <v>50514130</v>
      </c>
      <c r="D18" s="390">
        <v>13424510</v>
      </c>
      <c r="E18" s="390">
        <f t="shared" si="9"/>
        <v>37089620</v>
      </c>
      <c r="F18" s="390">
        <v>37348530</v>
      </c>
      <c r="G18" s="1109">
        <f t="shared" si="10"/>
        <v>-6.9322674814778521E-3</v>
      </c>
      <c r="H18" s="1110">
        <f t="shared" si="1"/>
        <v>37089620</v>
      </c>
      <c r="I18" s="1111">
        <v>5.42</v>
      </c>
      <c r="J18" s="1112">
        <v>200116</v>
      </c>
      <c r="K18" s="1111">
        <v>32.85</v>
      </c>
      <c r="L18" s="1112">
        <v>1212860</v>
      </c>
      <c r="M18" s="1113">
        <v>0</v>
      </c>
      <c r="N18" s="1113">
        <v>0</v>
      </c>
      <c r="O18" s="1113">
        <v>0</v>
      </c>
      <c r="P18" s="1112">
        <v>0</v>
      </c>
      <c r="Q18" s="390">
        <f t="shared" si="11"/>
        <v>1412976</v>
      </c>
      <c r="R18" s="1113">
        <v>32</v>
      </c>
      <c r="S18" s="1112">
        <v>1181638</v>
      </c>
      <c r="T18" s="1113">
        <v>0</v>
      </c>
      <c r="U18" s="1113">
        <v>0</v>
      </c>
      <c r="V18" s="1113">
        <v>0</v>
      </c>
      <c r="W18" s="1112">
        <v>0</v>
      </c>
      <c r="X18" s="390">
        <f t="shared" si="12"/>
        <v>1181638</v>
      </c>
      <c r="Y18" s="1115">
        <f t="shared" si="13"/>
        <v>70.27000000000001</v>
      </c>
      <c r="Z18" s="390">
        <f t="shared" si="13"/>
        <v>2594614</v>
      </c>
      <c r="AA18" s="390">
        <f t="shared" si="14"/>
        <v>0</v>
      </c>
      <c r="AB18" s="1116">
        <f t="shared" si="2"/>
        <v>31.86</v>
      </c>
      <c r="AC18" s="1117">
        <f t="shared" si="3"/>
        <v>38.1</v>
      </c>
      <c r="AD18" s="1118">
        <f t="shared" si="4"/>
        <v>69.959999999999994</v>
      </c>
      <c r="AE18" s="1066">
        <f t="shared" si="15"/>
        <v>2594614</v>
      </c>
      <c r="AF18" s="1119">
        <v>0.02</v>
      </c>
      <c r="AG18" s="1067">
        <v>2870011</v>
      </c>
      <c r="AH18" s="1067">
        <v>0</v>
      </c>
      <c r="AI18" s="1120">
        <f t="shared" si="16"/>
        <v>2870011</v>
      </c>
      <c r="AJ18" s="1066">
        <v>90315700</v>
      </c>
      <c r="AK18" s="1066">
        <f t="shared" si="5"/>
        <v>143500550</v>
      </c>
      <c r="AL18" s="1139">
        <f t="shared" si="17"/>
        <v>0.58887712767547618</v>
      </c>
      <c r="AM18" s="1140">
        <f t="shared" si="18"/>
        <v>103863054.99999999</v>
      </c>
      <c r="AN18" s="1123">
        <f t="shared" si="6"/>
        <v>0.02</v>
      </c>
      <c r="AO18" s="1123">
        <f t="shared" si="7"/>
        <v>0</v>
      </c>
      <c r="AP18" s="1066">
        <v>88614</v>
      </c>
      <c r="AQ18" s="1066">
        <f t="shared" si="8"/>
        <v>5553239</v>
      </c>
      <c r="AR18" s="1066">
        <f>ROUND(AQ18/'Table 3 Levels 1&amp;2'!C18,2)</f>
        <v>3459.96</v>
      </c>
    </row>
    <row r="19" spans="1:44">
      <c r="A19" s="1062">
        <v>12</v>
      </c>
      <c r="B19" s="448" t="s">
        <v>189</v>
      </c>
      <c r="C19" s="390">
        <v>245200050</v>
      </c>
      <c r="D19" s="390">
        <v>7845149</v>
      </c>
      <c r="E19" s="390">
        <f t="shared" si="9"/>
        <v>237354901</v>
      </c>
      <c r="F19" s="390">
        <v>228938162</v>
      </c>
      <c r="G19" s="1109">
        <f t="shared" si="10"/>
        <v>3.6764246408163267E-2</v>
      </c>
      <c r="H19" s="1110">
        <f t="shared" si="1"/>
        <v>237354901</v>
      </c>
      <c r="I19" s="1111">
        <v>4.4000000000000004</v>
      </c>
      <c r="J19" s="1112">
        <v>1101545</v>
      </c>
      <c r="K19" s="1111">
        <v>42.49</v>
      </c>
      <c r="L19" s="1112">
        <v>10637481</v>
      </c>
      <c r="M19" s="1113">
        <v>0</v>
      </c>
      <c r="N19" s="1113">
        <v>0</v>
      </c>
      <c r="O19" s="1113">
        <v>0</v>
      </c>
      <c r="P19" s="1112">
        <v>0</v>
      </c>
      <c r="Q19" s="390">
        <f t="shared" si="11"/>
        <v>11739026</v>
      </c>
      <c r="R19" s="1113">
        <v>0</v>
      </c>
      <c r="S19" s="1112">
        <v>646150</v>
      </c>
      <c r="T19" s="1113">
        <v>4.54</v>
      </c>
      <c r="U19" s="1113">
        <v>15</v>
      </c>
      <c r="V19" s="1113">
        <v>3</v>
      </c>
      <c r="W19" s="1112">
        <v>0</v>
      </c>
      <c r="X19" s="390">
        <f t="shared" si="12"/>
        <v>646150</v>
      </c>
      <c r="Y19" s="1115">
        <f t="shared" si="13"/>
        <v>46.89</v>
      </c>
      <c r="Z19" s="390">
        <f t="shared" si="13"/>
        <v>12385176</v>
      </c>
      <c r="AA19" s="390">
        <f t="shared" si="14"/>
        <v>0</v>
      </c>
      <c r="AB19" s="1116">
        <f t="shared" si="2"/>
        <v>2.72</v>
      </c>
      <c r="AC19" s="1117">
        <f t="shared" si="3"/>
        <v>49.46</v>
      </c>
      <c r="AD19" s="1118">
        <f t="shared" si="4"/>
        <v>52.18</v>
      </c>
      <c r="AE19" s="1066">
        <f t="shared" si="15"/>
        <v>12385176</v>
      </c>
      <c r="AF19" s="1119">
        <v>0</v>
      </c>
      <c r="AG19" s="1067">
        <v>0</v>
      </c>
      <c r="AH19" s="1067">
        <v>0</v>
      </c>
      <c r="AI19" s="1120">
        <f t="shared" si="16"/>
        <v>0</v>
      </c>
      <c r="AJ19" s="1066">
        <v>34284800</v>
      </c>
      <c r="AK19" s="1143">
        <v>26253113</v>
      </c>
      <c r="AL19" s="1121">
        <f t="shared" si="17"/>
        <v>-0.23426378453425425</v>
      </c>
      <c r="AM19" s="1122">
        <f t="shared" si="18"/>
        <v>26253113</v>
      </c>
      <c r="AN19" s="1123">
        <f t="shared" si="6"/>
        <v>0</v>
      </c>
      <c r="AO19" s="1123">
        <f t="shared" si="7"/>
        <v>0</v>
      </c>
      <c r="AP19" s="1066">
        <v>1121264.5</v>
      </c>
      <c r="AQ19" s="1066">
        <f t="shared" si="8"/>
        <v>13506440.5</v>
      </c>
      <c r="AR19" s="1066">
        <f>ROUND(AQ19/'Table 3 Levels 1&amp;2'!C19,2)</f>
        <v>10892.29</v>
      </c>
    </row>
    <row r="20" spans="1:44">
      <c r="A20" s="1062">
        <v>13</v>
      </c>
      <c r="B20" s="448" t="s">
        <v>190</v>
      </c>
      <c r="C20" s="390">
        <v>49958480</v>
      </c>
      <c r="D20" s="390">
        <v>14750751</v>
      </c>
      <c r="E20" s="390">
        <f t="shared" si="9"/>
        <v>35207729</v>
      </c>
      <c r="F20" s="390">
        <v>33877649</v>
      </c>
      <c r="G20" s="1109">
        <f t="shared" si="10"/>
        <v>3.9261284040105614E-2</v>
      </c>
      <c r="H20" s="1110">
        <f t="shared" si="1"/>
        <v>35207729</v>
      </c>
      <c r="I20" s="1111">
        <v>4.12</v>
      </c>
      <c r="J20" s="1112">
        <v>147166</v>
      </c>
      <c r="K20" s="1111">
        <v>13.13</v>
      </c>
      <c r="L20" s="1112">
        <v>469018</v>
      </c>
      <c r="M20" s="1113">
        <v>4.01</v>
      </c>
      <c r="N20" s="1113">
        <v>5.18</v>
      </c>
      <c r="O20" s="1113">
        <v>4</v>
      </c>
      <c r="P20" s="1112">
        <v>150027</v>
      </c>
      <c r="Q20" s="390">
        <f t="shared" si="11"/>
        <v>766211</v>
      </c>
      <c r="R20" s="1113">
        <v>0</v>
      </c>
      <c r="S20" s="1112">
        <v>0</v>
      </c>
      <c r="T20" s="1113">
        <v>20</v>
      </c>
      <c r="U20" s="1113">
        <v>20</v>
      </c>
      <c r="V20" s="1113">
        <v>1</v>
      </c>
      <c r="W20" s="1112">
        <v>105878</v>
      </c>
      <c r="X20" s="390">
        <f t="shared" si="12"/>
        <v>105878</v>
      </c>
      <c r="Y20" s="1115">
        <f t="shared" si="13"/>
        <v>17.25</v>
      </c>
      <c r="Z20" s="390">
        <f t="shared" si="13"/>
        <v>616184</v>
      </c>
      <c r="AA20" s="390">
        <f t="shared" si="14"/>
        <v>255905</v>
      </c>
      <c r="AB20" s="1116">
        <f t="shared" si="2"/>
        <v>3.01</v>
      </c>
      <c r="AC20" s="1117">
        <f t="shared" si="3"/>
        <v>21.76</v>
      </c>
      <c r="AD20" s="1118">
        <f t="shared" si="4"/>
        <v>24.77</v>
      </c>
      <c r="AE20" s="1066">
        <f t="shared" si="15"/>
        <v>872089</v>
      </c>
      <c r="AF20" s="1119">
        <v>0.03</v>
      </c>
      <c r="AG20" s="1067">
        <v>2449734</v>
      </c>
      <c r="AH20" s="1067">
        <v>0</v>
      </c>
      <c r="AI20" s="1120">
        <f t="shared" si="16"/>
        <v>2449734</v>
      </c>
      <c r="AJ20" s="1066">
        <v>84338160</v>
      </c>
      <c r="AK20" s="1066">
        <f t="shared" ref="AK20:AK76" si="19">ROUND(AI20/AF20,0)</f>
        <v>81657800</v>
      </c>
      <c r="AL20" s="1121">
        <f t="shared" si="17"/>
        <v>-3.178110596674151E-2</v>
      </c>
      <c r="AM20" s="1122">
        <f t="shared" si="18"/>
        <v>81657800</v>
      </c>
      <c r="AN20" s="1123">
        <f t="shared" si="6"/>
        <v>0.03</v>
      </c>
      <c r="AO20" s="1123">
        <f t="shared" si="7"/>
        <v>0</v>
      </c>
      <c r="AP20" s="1066">
        <v>99646.5</v>
      </c>
      <c r="AQ20" s="1066">
        <f t="shared" si="8"/>
        <v>3421469.5</v>
      </c>
      <c r="AR20" s="1066">
        <f>ROUND(AQ20/'Table 3 Levels 1&amp;2'!C20,2)</f>
        <v>2258.4</v>
      </c>
    </row>
    <row r="21" spans="1:44">
      <c r="A21" s="1062">
        <v>14</v>
      </c>
      <c r="B21" s="448" t="s">
        <v>191</v>
      </c>
      <c r="C21" s="390">
        <v>148495146</v>
      </c>
      <c r="D21" s="390">
        <v>19954503</v>
      </c>
      <c r="E21" s="390">
        <f t="shared" si="9"/>
        <v>128540643</v>
      </c>
      <c r="F21" s="390">
        <v>105868617</v>
      </c>
      <c r="G21" s="1141">
        <f t="shared" si="10"/>
        <v>0.21415247164322548</v>
      </c>
      <c r="H21" s="1142">
        <f t="shared" si="1"/>
        <v>116455478.7</v>
      </c>
      <c r="I21" s="1111">
        <v>5.16</v>
      </c>
      <c r="J21" s="1112">
        <v>658158</v>
      </c>
      <c r="K21" s="1111">
        <v>10.039999999999999</v>
      </c>
      <c r="L21" s="1112">
        <v>1280592</v>
      </c>
      <c r="M21" s="1113">
        <v>3.16</v>
      </c>
      <c r="N21" s="1113">
        <v>11.96</v>
      </c>
      <c r="O21" s="1113">
        <v>5</v>
      </c>
      <c r="P21" s="1112">
        <v>735263</v>
      </c>
      <c r="Q21" s="390">
        <f t="shared" si="11"/>
        <v>2674013</v>
      </c>
      <c r="R21" s="1113">
        <v>0</v>
      </c>
      <c r="S21" s="1112">
        <v>0</v>
      </c>
      <c r="T21" s="1113">
        <v>31.5</v>
      </c>
      <c r="U21" s="1113">
        <v>35.42</v>
      </c>
      <c r="V21" s="1113">
        <v>2</v>
      </c>
      <c r="W21" s="1112">
        <v>2484325</v>
      </c>
      <c r="X21" s="390">
        <f t="shared" si="12"/>
        <v>2484325</v>
      </c>
      <c r="Y21" s="1115">
        <f t="shared" si="13"/>
        <v>15.2</v>
      </c>
      <c r="Z21" s="390">
        <f t="shared" si="13"/>
        <v>1938750</v>
      </c>
      <c r="AA21" s="390">
        <f t="shared" si="14"/>
        <v>3219588</v>
      </c>
      <c r="AB21" s="1116">
        <f t="shared" si="2"/>
        <v>19.329999999999998</v>
      </c>
      <c r="AC21" s="1117">
        <f t="shared" si="3"/>
        <v>20.8</v>
      </c>
      <c r="AD21" s="1118">
        <f t="shared" si="4"/>
        <v>40.130000000000003</v>
      </c>
      <c r="AE21" s="1066">
        <f t="shared" si="15"/>
        <v>5158338</v>
      </c>
      <c r="AF21" s="1119">
        <v>0.02</v>
      </c>
      <c r="AG21" s="1067">
        <v>2973467</v>
      </c>
      <c r="AH21" s="1067">
        <v>0</v>
      </c>
      <c r="AI21" s="1120">
        <f t="shared" si="16"/>
        <v>2973467</v>
      </c>
      <c r="AJ21" s="1066">
        <v>239507100</v>
      </c>
      <c r="AK21" s="1066">
        <f t="shared" si="19"/>
        <v>148673350</v>
      </c>
      <c r="AL21" s="1121">
        <f t="shared" si="17"/>
        <v>-0.37925284887170357</v>
      </c>
      <c r="AM21" s="1122">
        <f t="shared" si="18"/>
        <v>148673350</v>
      </c>
      <c r="AN21" s="1123">
        <f t="shared" si="6"/>
        <v>0.02</v>
      </c>
      <c r="AO21" s="1123">
        <f t="shared" si="7"/>
        <v>0</v>
      </c>
      <c r="AP21" s="1066">
        <v>165508</v>
      </c>
      <c r="AQ21" s="1066">
        <f t="shared" si="8"/>
        <v>8297313</v>
      </c>
      <c r="AR21" s="1066">
        <f>ROUND(AQ21/'Table 3 Levels 1&amp;2'!C21,2)</f>
        <v>4130.07</v>
      </c>
    </row>
    <row r="22" spans="1:44">
      <c r="A22" s="1064">
        <v>15</v>
      </c>
      <c r="B22" s="1124" t="s">
        <v>192</v>
      </c>
      <c r="C22" s="409">
        <v>153969950</v>
      </c>
      <c r="D22" s="409">
        <v>27708462</v>
      </c>
      <c r="E22" s="409">
        <f t="shared" si="9"/>
        <v>126261488</v>
      </c>
      <c r="F22" s="409">
        <v>118261893</v>
      </c>
      <c r="G22" s="1125">
        <f t="shared" si="10"/>
        <v>6.7643048805247852E-2</v>
      </c>
      <c r="H22" s="1126">
        <f t="shared" si="1"/>
        <v>126261488</v>
      </c>
      <c r="I22" s="1127">
        <v>2.97</v>
      </c>
      <c r="J22" s="1128">
        <v>345932</v>
      </c>
      <c r="K22" s="1127">
        <v>36.69</v>
      </c>
      <c r="L22" s="1128">
        <v>4282543</v>
      </c>
      <c r="M22" s="1129">
        <v>0</v>
      </c>
      <c r="N22" s="1129">
        <v>0</v>
      </c>
      <c r="O22" s="1129">
        <v>1</v>
      </c>
      <c r="P22" s="1128">
        <v>0</v>
      </c>
      <c r="Q22" s="409">
        <f t="shared" si="11"/>
        <v>4628475</v>
      </c>
      <c r="R22" s="1129">
        <v>0</v>
      </c>
      <c r="S22" s="1128">
        <v>0</v>
      </c>
      <c r="T22" s="1129">
        <v>0</v>
      </c>
      <c r="U22" s="1129">
        <v>0</v>
      </c>
      <c r="V22" s="1129">
        <v>0</v>
      </c>
      <c r="W22" s="1128">
        <v>0</v>
      </c>
      <c r="X22" s="409">
        <f t="shared" si="12"/>
        <v>0</v>
      </c>
      <c r="Y22" s="1130">
        <f t="shared" si="13"/>
        <v>39.659999999999997</v>
      </c>
      <c r="Z22" s="409">
        <f t="shared" si="13"/>
        <v>4628475</v>
      </c>
      <c r="AA22" s="409">
        <f t="shared" si="14"/>
        <v>0</v>
      </c>
      <c r="AB22" s="1131">
        <f t="shared" si="2"/>
        <v>0</v>
      </c>
      <c r="AC22" s="1132">
        <f t="shared" si="3"/>
        <v>36.659999999999997</v>
      </c>
      <c r="AD22" s="1133">
        <f t="shared" si="4"/>
        <v>36.659999999999997</v>
      </c>
      <c r="AE22" s="1069">
        <f t="shared" si="15"/>
        <v>4628475</v>
      </c>
      <c r="AF22" s="1134">
        <v>0.02</v>
      </c>
      <c r="AG22" s="1070">
        <v>4347817</v>
      </c>
      <c r="AH22" s="1070">
        <v>0</v>
      </c>
      <c r="AI22" s="1135">
        <f t="shared" si="16"/>
        <v>4347817</v>
      </c>
      <c r="AJ22" s="1069">
        <v>227321650</v>
      </c>
      <c r="AK22" s="1069">
        <f t="shared" si="19"/>
        <v>217390850</v>
      </c>
      <c r="AL22" s="1136">
        <f t="shared" si="17"/>
        <v>-4.3686116126642582E-2</v>
      </c>
      <c r="AM22" s="1137">
        <f t="shared" si="18"/>
        <v>217390850</v>
      </c>
      <c r="AN22" s="1138">
        <f t="shared" si="6"/>
        <v>0.02</v>
      </c>
      <c r="AO22" s="1138">
        <f t="shared" si="7"/>
        <v>0</v>
      </c>
      <c r="AP22" s="1069">
        <v>190113</v>
      </c>
      <c r="AQ22" s="1069">
        <f t="shared" si="8"/>
        <v>9166405</v>
      </c>
      <c r="AR22" s="1069">
        <f>ROUND(AQ22/'Table 3 Levels 1&amp;2'!C22,2)</f>
        <v>2482.77</v>
      </c>
    </row>
    <row r="23" spans="1:44">
      <c r="A23" s="1062">
        <v>16</v>
      </c>
      <c r="B23" s="448" t="s">
        <v>193</v>
      </c>
      <c r="C23" s="390">
        <v>397162416</v>
      </c>
      <c r="D23" s="390">
        <v>38654478</v>
      </c>
      <c r="E23" s="390">
        <f t="shared" si="9"/>
        <v>358507938</v>
      </c>
      <c r="F23" s="390">
        <v>291725048</v>
      </c>
      <c r="G23" s="1141">
        <f t="shared" si="10"/>
        <v>0.22892408607984871</v>
      </c>
      <c r="H23" s="1142">
        <f t="shared" si="1"/>
        <v>320897552.80000001</v>
      </c>
      <c r="I23" s="1111">
        <v>4.5599999999999996</v>
      </c>
      <c r="J23" s="1112">
        <v>1629462</v>
      </c>
      <c r="K23" s="1111">
        <v>44</v>
      </c>
      <c r="L23" s="1112">
        <v>15574898</v>
      </c>
      <c r="M23" s="1113">
        <v>0</v>
      </c>
      <c r="N23" s="1113">
        <v>0</v>
      </c>
      <c r="O23" s="1113">
        <v>0</v>
      </c>
      <c r="P23" s="1112">
        <v>0</v>
      </c>
      <c r="Q23" s="390">
        <f t="shared" si="11"/>
        <v>17204360</v>
      </c>
      <c r="R23" s="1113">
        <v>0</v>
      </c>
      <c r="S23" s="1112">
        <v>0</v>
      </c>
      <c r="T23" s="1113">
        <v>0</v>
      </c>
      <c r="U23" s="1113">
        <v>17</v>
      </c>
      <c r="V23" s="1113">
        <v>5</v>
      </c>
      <c r="W23" s="1112">
        <v>3197011</v>
      </c>
      <c r="X23" s="390">
        <f t="shared" si="12"/>
        <v>3197011</v>
      </c>
      <c r="Y23" s="1115">
        <f t="shared" si="13"/>
        <v>48.56</v>
      </c>
      <c r="Z23" s="390">
        <f t="shared" si="13"/>
        <v>17204360</v>
      </c>
      <c r="AA23" s="390">
        <f t="shared" si="14"/>
        <v>3197011</v>
      </c>
      <c r="AB23" s="1116">
        <f t="shared" si="2"/>
        <v>8.92</v>
      </c>
      <c r="AC23" s="1117">
        <f t="shared" si="3"/>
        <v>47.99</v>
      </c>
      <c r="AD23" s="1118">
        <f t="shared" si="4"/>
        <v>56.91</v>
      </c>
      <c r="AE23" s="1066">
        <f t="shared" si="15"/>
        <v>20401371</v>
      </c>
      <c r="AF23" s="1119">
        <v>2.5000000000000001E-2</v>
      </c>
      <c r="AG23" s="1067">
        <v>53743412</v>
      </c>
      <c r="AH23" s="1067">
        <v>354500</v>
      </c>
      <c r="AI23" s="1120">
        <f t="shared" si="16"/>
        <v>54097912</v>
      </c>
      <c r="AJ23" s="1066">
        <v>1119250800</v>
      </c>
      <c r="AK23" s="1066">
        <f t="shared" si="19"/>
        <v>2163916480</v>
      </c>
      <c r="AL23" s="1139">
        <f t="shared" si="17"/>
        <v>0.93336156650502278</v>
      </c>
      <c r="AM23" s="1140">
        <f t="shared" si="18"/>
        <v>1287138420</v>
      </c>
      <c r="AN23" s="1123">
        <f t="shared" si="6"/>
        <v>2.4836176671661561E-2</v>
      </c>
      <c r="AO23" s="1123">
        <f t="shared" si="7"/>
        <v>1.6382332833843937E-4</v>
      </c>
      <c r="AP23" s="1066">
        <v>3635567.5</v>
      </c>
      <c r="AQ23" s="1066">
        <f t="shared" si="8"/>
        <v>78134850.5</v>
      </c>
      <c r="AR23" s="1066">
        <f>ROUND(AQ23/'Table 3 Levels 1&amp;2'!C23,2)</f>
        <v>16706.189999999999</v>
      </c>
    </row>
    <row r="24" spans="1:44" s="616" customFormat="1">
      <c r="A24" s="379">
        <v>17</v>
      </c>
      <c r="B24" s="1144" t="s">
        <v>75</v>
      </c>
      <c r="C24" s="1066">
        <v>3514116280</v>
      </c>
      <c r="D24" s="1066">
        <v>539973100</v>
      </c>
      <c r="E24" s="1066">
        <f>C24-D24</f>
        <v>2974143180</v>
      </c>
      <c r="F24" s="1066">
        <v>2852751370</v>
      </c>
      <c r="G24" s="1109">
        <f t="shared" si="10"/>
        <v>4.2552537622653042E-2</v>
      </c>
      <c r="H24" s="1110">
        <f t="shared" si="1"/>
        <v>2974143180</v>
      </c>
      <c r="I24" s="1111">
        <v>5.25</v>
      </c>
      <c r="J24" s="1112">
        <v>15411502</v>
      </c>
      <c r="K24" s="1111">
        <v>38.200000000000003</v>
      </c>
      <c r="L24" s="1112">
        <v>112137034</v>
      </c>
      <c r="M24" s="1113">
        <v>0</v>
      </c>
      <c r="N24" s="1113">
        <v>0</v>
      </c>
      <c r="O24" s="1113">
        <v>0</v>
      </c>
      <c r="P24" s="1112">
        <v>0</v>
      </c>
      <c r="Q24" s="1066">
        <f>J24+L24+P24</f>
        <v>127548536</v>
      </c>
      <c r="R24" s="1113">
        <v>0</v>
      </c>
      <c r="S24" s="1112">
        <v>0</v>
      </c>
      <c r="T24" s="1113">
        <v>0</v>
      </c>
      <c r="U24" s="1113">
        <v>0</v>
      </c>
      <c r="V24" s="1113">
        <v>0</v>
      </c>
      <c r="W24" s="1112">
        <v>0</v>
      </c>
      <c r="X24" s="1066">
        <f t="shared" si="12"/>
        <v>0</v>
      </c>
      <c r="Y24" s="1145">
        <f t="shared" si="13"/>
        <v>43.45</v>
      </c>
      <c r="Z24" s="1066">
        <f t="shared" si="13"/>
        <v>127548536</v>
      </c>
      <c r="AA24" s="1066">
        <f t="shared" si="14"/>
        <v>0</v>
      </c>
      <c r="AB24" s="1146">
        <f t="shared" si="2"/>
        <v>0</v>
      </c>
      <c r="AC24" s="1147">
        <f t="shared" si="3"/>
        <v>42.89</v>
      </c>
      <c r="AD24" s="1118">
        <f t="shared" si="4"/>
        <v>42.89</v>
      </c>
      <c r="AE24" s="1148">
        <f t="shared" si="15"/>
        <v>127548536</v>
      </c>
      <c r="AF24" s="1119">
        <v>0.02</v>
      </c>
      <c r="AG24" s="1067">
        <v>148522401</v>
      </c>
      <c r="AH24" s="1067">
        <v>0</v>
      </c>
      <c r="AI24" s="1120">
        <f t="shared" si="16"/>
        <v>148522401</v>
      </c>
      <c r="AJ24" s="1066">
        <v>8042388950</v>
      </c>
      <c r="AK24" s="1066">
        <f t="shared" si="19"/>
        <v>7426120050</v>
      </c>
      <c r="AL24" s="1121">
        <f t="shared" si="17"/>
        <v>-7.6627592103711922E-2</v>
      </c>
      <c r="AM24" s="1122">
        <f t="shared" si="18"/>
        <v>7426120050</v>
      </c>
      <c r="AN24" s="1123">
        <f t="shared" si="6"/>
        <v>0.02</v>
      </c>
      <c r="AO24" s="1123">
        <f t="shared" si="7"/>
        <v>0</v>
      </c>
      <c r="AP24" s="1066">
        <v>4130207</v>
      </c>
      <c r="AQ24" s="1066">
        <f t="shared" si="8"/>
        <v>280201144</v>
      </c>
      <c r="AR24" s="1066">
        <f>ROUND(AQ24/'Table 3 Levels 1&amp;2'!C24,2)</f>
        <v>6483.44</v>
      </c>
    </row>
    <row r="25" spans="1:44">
      <c r="A25" s="1062">
        <v>18</v>
      </c>
      <c r="B25" s="448" t="s">
        <v>194</v>
      </c>
      <c r="C25" s="390">
        <v>42850399</v>
      </c>
      <c r="D25" s="390">
        <v>5705110</v>
      </c>
      <c r="E25" s="390">
        <f t="shared" si="9"/>
        <v>37145289</v>
      </c>
      <c r="F25" s="390">
        <v>34592417</v>
      </c>
      <c r="G25" s="1109">
        <f t="shared" si="10"/>
        <v>7.3798601583693904E-2</v>
      </c>
      <c r="H25" s="1110">
        <f t="shared" si="1"/>
        <v>37145289</v>
      </c>
      <c r="I25" s="1111">
        <v>7.4</v>
      </c>
      <c r="J25" s="1112">
        <v>258780</v>
      </c>
      <c r="K25" s="1111">
        <v>7.42</v>
      </c>
      <c r="L25" s="1112">
        <v>257956</v>
      </c>
      <c r="M25" s="1113">
        <v>0</v>
      </c>
      <c r="N25" s="1113">
        <v>0</v>
      </c>
      <c r="O25" s="1113">
        <v>0</v>
      </c>
      <c r="P25" s="1112">
        <v>0</v>
      </c>
      <c r="Q25" s="1066">
        <f t="shared" si="11"/>
        <v>516736</v>
      </c>
      <c r="R25" s="1113">
        <v>0</v>
      </c>
      <c r="S25" s="1112">
        <v>0</v>
      </c>
      <c r="T25" s="1113">
        <v>0</v>
      </c>
      <c r="U25" s="1113">
        <v>0</v>
      </c>
      <c r="V25" s="1113">
        <v>0</v>
      </c>
      <c r="W25" s="1112">
        <v>0</v>
      </c>
      <c r="X25" s="390">
        <f t="shared" si="12"/>
        <v>0</v>
      </c>
      <c r="Y25" s="1115">
        <f t="shared" si="13"/>
        <v>14.82</v>
      </c>
      <c r="Z25" s="390">
        <f t="shared" si="13"/>
        <v>516736</v>
      </c>
      <c r="AA25" s="390">
        <f t="shared" si="14"/>
        <v>0</v>
      </c>
      <c r="AB25" s="1116">
        <f t="shared" si="2"/>
        <v>0</v>
      </c>
      <c r="AC25" s="1117">
        <f t="shared" si="3"/>
        <v>13.91</v>
      </c>
      <c r="AD25" s="1118">
        <f t="shared" si="4"/>
        <v>13.91</v>
      </c>
      <c r="AE25" s="1066">
        <f t="shared" si="15"/>
        <v>516736</v>
      </c>
      <c r="AF25" s="1119">
        <v>0.03</v>
      </c>
      <c r="AG25" s="1067">
        <v>1432897</v>
      </c>
      <c r="AH25" s="1067">
        <v>0</v>
      </c>
      <c r="AI25" s="1120">
        <f t="shared" si="16"/>
        <v>1432897</v>
      </c>
      <c r="AJ25" s="1066">
        <v>44430667</v>
      </c>
      <c r="AK25" s="1066">
        <f t="shared" si="19"/>
        <v>47763233</v>
      </c>
      <c r="AL25" s="1121">
        <f t="shared" si="17"/>
        <v>7.5005986293205998E-2</v>
      </c>
      <c r="AM25" s="1122">
        <f t="shared" si="18"/>
        <v>47763233</v>
      </c>
      <c r="AN25" s="1123">
        <f t="shared" si="6"/>
        <v>3.0000000209366062E-2</v>
      </c>
      <c r="AO25" s="1123">
        <f t="shared" si="7"/>
        <v>0</v>
      </c>
      <c r="AP25" s="1066">
        <v>131294</v>
      </c>
      <c r="AQ25" s="1066">
        <f t="shared" si="8"/>
        <v>2080927</v>
      </c>
      <c r="AR25" s="1066">
        <f>ROUND(AQ25/'Table 3 Levels 1&amp;2'!C25,2)</f>
        <v>1789.28</v>
      </c>
    </row>
    <row r="26" spans="1:44">
      <c r="A26" s="1062">
        <v>19</v>
      </c>
      <c r="B26" s="448" t="s">
        <v>195</v>
      </c>
      <c r="C26" s="390">
        <v>135788090</v>
      </c>
      <c r="D26" s="390">
        <v>34498485</v>
      </c>
      <c r="E26" s="390">
        <f t="shared" si="9"/>
        <v>101289605</v>
      </c>
      <c r="F26" s="390">
        <v>97945500</v>
      </c>
      <c r="G26" s="1109">
        <f t="shared" si="10"/>
        <v>3.4142507823228224E-2</v>
      </c>
      <c r="H26" s="1110">
        <f t="shared" si="1"/>
        <v>101289605</v>
      </c>
      <c r="I26" s="1111">
        <v>3.34</v>
      </c>
      <c r="J26" s="1112">
        <v>323698</v>
      </c>
      <c r="K26" s="1111">
        <v>17</v>
      </c>
      <c r="L26" s="1112">
        <v>1647573</v>
      </c>
      <c r="M26" s="1113">
        <v>0</v>
      </c>
      <c r="N26" s="1113">
        <v>0</v>
      </c>
      <c r="O26" s="1113">
        <v>0</v>
      </c>
      <c r="P26" s="1112">
        <v>0</v>
      </c>
      <c r="Q26" s="1066">
        <f t="shared" si="11"/>
        <v>1971271</v>
      </c>
      <c r="R26" s="1113">
        <v>0</v>
      </c>
      <c r="S26" s="1112">
        <v>0</v>
      </c>
      <c r="T26" s="1113">
        <v>0</v>
      </c>
      <c r="U26" s="1113">
        <v>0</v>
      </c>
      <c r="V26" s="1113">
        <v>0</v>
      </c>
      <c r="W26" s="1112">
        <v>0</v>
      </c>
      <c r="X26" s="390">
        <f t="shared" si="12"/>
        <v>0</v>
      </c>
      <c r="Y26" s="1115">
        <f t="shared" si="13"/>
        <v>20.34</v>
      </c>
      <c r="Z26" s="390">
        <f t="shared" si="13"/>
        <v>1971271</v>
      </c>
      <c r="AA26" s="390">
        <f t="shared" si="14"/>
        <v>0</v>
      </c>
      <c r="AB26" s="1116">
        <f t="shared" si="2"/>
        <v>0</v>
      </c>
      <c r="AC26" s="1117">
        <f t="shared" si="3"/>
        <v>19.46</v>
      </c>
      <c r="AD26" s="1118">
        <f t="shared" si="4"/>
        <v>19.46</v>
      </c>
      <c r="AE26" s="1066">
        <f t="shared" si="15"/>
        <v>1971271</v>
      </c>
      <c r="AF26" s="1119">
        <v>0.02</v>
      </c>
      <c r="AG26" s="1067">
        <v>2176520</v>
      </c>
      <c r="AH26" s="1067">
        <v>0</v>
      </c>
      <c r="AI26" s="1120">
        <f t="shared" si="16"/>
        <v>2176520</v>
      </c>
      <c r="AJ26" s="1066">
        <v>136913550</v>
      </c>
      <c r="AK26" s="1066">
        <f t="shared" si="19"/>
        <v>108826000</v>
      </c>
      <c r="AL26" s="1121">
        <f t="shared" si="17"/>
        <v>-0.20514806606066383</v>
      </c>
      <c r="AM26" s="1122">
        <f t="shared" si="18"/>
        <v>108826000</v>
      </c>
      <c r="AN26" s="1123">
        <f t="shared" si="6"/>
        <v>0.02</v>
      </c>
      <c r="AO26" s="1123">
        <f t="shared" si="7"/>
        <v>0</v>
      </c>
      <c r="AP26" s="1066">
        <v>77952.5</v>
      </c>
      <c r="AQ26" s="1066">
        <f t="shared" si="8"/>
        <v>4225743.5</v>
      </c>
      <c r="AR26" s="1066">
        <f>ROUND(AQ26/'Table 3 Levels 1&amp;2'!C26,2)</f>
        <v>2158.19</v>
      </c>
    </row>
    <row r="27" spans="1:44">
      <c r="A27" s="1064">
        <v>20</v>
      </c>
      <c r="B27" s="1124" t="s">
        <v>196</v>
      </c>
      <c r="C27" s="409">
        <v>203305340</v>
      </c>
      <c r="D27" s="409">
        <v>47790380</v>
      </c>
      <c r="E27" s="409">
        <f t="shared" si="9"/>
        <v>155514960</v>
      </c>
      <c r="F27" s="409">
        <v>143836920</v>
      </c>
      <c r="G27" s="1125">
        <f t="shared" si="10"/>
        <v>8.118944704878274E-2</v>
      </c>
      <c r="H27" s="1126">
        <f t="shared" si="1"/>
        <v>155514960</v>
      </c>
      <c r="I27" s="1127">
        <v>4.67</v>
      </c>
      <c r="J27" s="1128">
        <v>723661</v>
      </c>
      <c r="K27" s="1127">
        <v>10.35</v>
      </c>
      <c r="L27" s="1128">
        <v>1603832</v>
      </c>
      <c r="M27" s="1129">
        <v>2.02</v>
      </c>
      <c r="N27" s="1129">
        <v>12.32</v>
      </c>
      <c r="O27" s="1129">
        <v>3</v>
      </c>
      <c r="P27" s="1128">
        <v>2227626</v>
      </c>
      <c r="Q27" s="1069">
        <f t="shared" si="11"/>
        <v>4555119</v>
      </c>
      <c r="R27" s="1129">
        <v>0</v>
      </c>
      <c r="S27" s="1128">
        <v>0</v>
      </c>
      <c r="T27" s="1129">
        <v>16.25</v>
      </c>
      <c r="U27" s="1129">
        <v>16.25</v>
      </c>
      <c r="V27" s="1129">
        <v>1</v>
      </c>
      <c r="W27" s="1128">
        <v>469174</v>
      </c>
      <c r="X27" s="409">
        <f t="shared" si="12"/>
        <v>469174</v>
      </c>
      <c r="Y27" s="1130">
        <f t="shared" si="13"/>
        <v>15.02</v>
      </c>
      <c r="Z27" s="409">
        <f t="shared" si="13"/>
        <v>2327493</v>
      </c>
      <c r="AA27" s="409">
        <f t="shared" si="14"/>
        <v>2696800</v>
      </c>
      <c r="AB27" s="1131">
        <f t="shared" si="2"/>
        <v>3.02</v>
      </c>
      <c r="AC27" s="1132">
        <f t="shared" si="3"/>
        <v>29.29</v>
      </c>
      <c r="AD27" s="1133">
        <f t="shared" si="4"/>
        <v>32.31</v>
      </c>
      <c r="AE27" s="1069">
        <f t="shared" si="15"/>
        <v>5024293</v>
      </c>
      <c r="AF27" s="1134">
        <v>0.02</v>
      </c>
      <c r="AG27" s="1070">
        <v>7528821</v>
      </c>
      <c r="AH27" s="1070">
        <v>0</v>
      </c>
      <c r="AI27" s="1135">
        <f t="shared" si="16"/>
        <v>7528821</v>
      </c>
      <c r="AJ27" s="1069">
        <v>375495800</v>
      </c>
      <c r="AK27" s="1069">
        <f t="shared" si="19"/>
        <v>376441050</v>
      </c>
      <c r="AL27" s="1136">
        <f t="shared" si="17"/>
        <v>2.5173384096439958E-3</v>
      </c>
      <c r="AM27" s="1137">
        <f t="shared" si="18"/>
        <v>376441050</v>
      </c>
      <c r="AN27" s="1138">
        <f t="shared" si="6"/>
        <v>0.02</v>
      </c>
      <c r="AO27" s="1138">
        <f t="shared" si="7"/>
        <v>0</v>
      </c>
      <c r="AP27" s="1069">
        <v>236850.5</v>
      </c>
      <c r="AQ27" s="1069">
        <f t="shared" si="8"/>
        <v>12789964.5</v>
      </c>
      <c r="AR27" s="1069">
        <f>ROUND(AQ27/'Table 3 Levels 1&amp;2'!C27,2)</f>
        <v>2244.25</v>
      </c>
    </row>
    <row r="28" spans="1:44">
      <c r="A28" s="1062">
        <v>21</v>
      </c>
      <c r="B28" s="448" t="s">
        <v>197</v>
      </c>
      <c r="C28" s="390">
        <v>83711696</v>
      </c>
      <c r="D28" s="390">
        <v>27521544</v>
      </c>
      <c r="E28" s="390">
        <f t="shared" si="9"/>
        <v>56190152</v>
      </c>
      <c r="F28" s="390">
        <v>55058453</v>
      </c>
      <c r="G28" s="1109">
        <f t="shared" si="10"/>
        <v>2.0554500505126798E-2</v>
      </c>
      <c r="H28" s="1110">
        <f t="shared" si="1"/>
        <v>56190152</v>
      </c>
      <c r="I28" s="1111">
        <v>4.53</v>
      </c>
      <c r="J28" s="1112">
        <v>241897</v>
      </c>
      <c r="K28" s="1111">
        <v>19.850000000000001</v>
      </c>
      <c r="L28" s="1112">
        <v>1059119</v>
      </c>
      <c r="M28" s="1113">
        <v>19.850000000000001</v>
      </c>
      <c r="N28" s="1113">
        <v>19.850000000000001</v>
      </c>
      <c r="O28" s="1113">
        <v>0</v>
      </c>
      <c r="P28" s="1112">
        <v>0</v>
      </c>
      <c r="Q28" s="1066">
        <f t="shared" si="11"/>
        <v>1301016</v>
      </c>
      <c r="R28" s="1113">
        <v>0</v>
      </c>
      <c r="S28" s="1112">
        <v>0</v>
      </c>
      <c r="T28" s="1113">
        <v>0</v>
      </c>
      <c r="U28" s="1113">
        <v>0</v>
      </c>
      <c r="V28" s="1113">
        <v>0</v>
      </c>
      <c r="W28" s="1112">
        <v>0</v>
      </c>
      <c r="X28" s="390">
        <f t="shared" si="12"/>
        <v>0</v>
      </c>
      <c r="Y28" s="1115">
        <f t="shared" si="13"/>
        <v>24.380000000000003</v>
      </c>
      <c r="Z28" s="390">
        <f t="shared" si="13"/>
        <v>1301016</v>
      </c>
      <c r="AA28" s="390">
        <f t="shared" si="14"/>
        <v>0</v>
      </c>
      <c r="AB28" s="1116">
        <f t="shared" si="2"/>
        <v>0</v>
      </c>
      <c r="AC28" s="1117">
        <f t="shared" si="3"/>
        <v>23.15</v>
      </c>
      <c r="AD28" s="1118">
        <f t="shared" si="4"/>
        <v>23.15</v>
      </c>
      <c r="AE28" s="1066">
        <f t="shared" si="15"/>
        <v>1301016</v>
      </c>
      <c r="AF28" s="1119">
        <v>0.02</v>
      </c>
      <c r="AG28" s="1067">
        <v>4704611</v>
      </c>
      <c r="AH28" s="1067">
        <v>0</v>
      </c>
      <c r="AI28" s="1120">
        <f t="shared" si="16"/>
        <v>4704611</v>
      </c>
      <c r="AJ28" s="1066">
        <v>218146700</v>
      </c>
      <c r="AK28" s="1066">
        <f t="shared" si="19"/>
        <v>235230550</v>
      </c>
      <c r="AL28" s="1121">
        <f t="shared" si="17"/>
        <v>7.8313584390687557E-2</v>
      </c>
      <c r="AM28" s="1122">
        <f t="shared" si="18"/>
        <v>235230550</v>
      </c>
      <c r="AN28" s="1123">
        <f t="shared" si="6"/>
        <v>0.02</v>
      </c>
      <c r="AO28" s="1123">
        <f t="shared" si="7"/>
        <v>0</v>
      </c>
      <c r="AP28" s="1066">
        <v>76190</v>
      </c>
      <c r="AQ28" s="1066">
        <f t="shared" si="8"/>
        <v>6081817</v>
      </c>
      <c r="AR28" s="1066">
        <f>ROUND(AQ28/'Table 3 Levels 1&amp;2'!C28,2)</f>
        <v>2095.73</v>
      </c>
    </row>
    <row r="29" spans="1:44">
      <c r="A29" s="1062">
        <v>22</v>
      </c>
      <c r="B29" s="448" t="s">
        <v>198</v>
      </c>
      <c r="C29" s="390">
        <v>64791472</v>
      </c>
      <c r="D29" s="390">
        <v>27716820</v>
      </c>
      <c r="E29" s="390">
        <f t="shared" si="9"/>
        <v>37074652</v>
      </c>
      <c r="F29" s="390">
        <v>36973692</v>
      </c>
      <c r="G29" s="1109">
        <f t="shared" si="10"/>
        <v>2.7305901720607183E-3</v>
      </c>
      <c r="H29" s="1110">
        <f t="shared" si="1"/>
        <v>37074652</v>
      </c>
      <c r="I29" s="1111">
        <v>5.93</v>
      </c>
      <c r="J29" s="1112">
        <v>217565</v>
      </c>
      <c r="K29" s="1111">
        <v>24.12</v>
      </c>
      <c r="L29" s="1112">
        <v>707648</v>
      </c>
      <c r="M29" s="1113">
        <v>2</v>
      </c>
      <c r="N29" s="1113">
        <v>16.12</v>
      </c>
      <c r="O29" s="1113">
        <v>8</v>
      </c>
      <c r="P29" s="1112">
        <v>576865</v>
      </c>
      <c r="Q29" s="1066">
        <f t="shared" si="11"/>
        <v>1502078</v>
      </c>
      <c r="R29" s="1113">
        <v>0</v>
      </c>
      <c r="S29" s="1112">
        <v>0</v>
      </c>
      <c r="T29" s="1113">
        <v>16</v>
      </c>
      <c r="U29" s="1113">
        <v>38</v>
      </c>
      <c r="V29" s="1113">
        <v>3</v>
      </c>
      <c r="W29" s="1112">
        <v>1240089</v>
      </c>
      <c r="X29" s="390">
        <f t="shared" si="12"/>
        <v>1240089</v>
      </c>
      <c r="Y29" s="1115">
        <f t="shared" si="13"/>
        <v>30.05</v>
      </c>
      <c r="Z29" s="390">
        <f t="shared" si="13"/>
        <v>925213</v>
      </c>
      <c r="AA29" s="390">
        <f t="shared" si="14"/>
        <v>1816954</v>
      </c>
      <c r="AB29" s="1116">
        <f t="shared" si="2"/>
        <v>33.450000000000003</v>
      </c>
      <c r="AC29" s="1117">
        <f t="shared" si="3"/>
        <v>40.51</v>
      </c>
      <c r="AD29" s="1118">
        <f t="shared" si="4"/>
        <v>73.959999999999994</v>
      </c>
      <c r="AE29" s="1066">
        <f t="shared" si="15"/>
        <v>2742167</v>
      </c>
      <c r="AF29" s="1119">
        <v>0.02</v>
      </c>
      <c r="AG29" s="1067">
        <v>1835578</v>
      </c>
      <c r="AH29" s="1067">
        <v>0</v>
      </c>
      <c r="AI29" s="1120">
        <f t="shared" si="16"/>
        <v>1835578</v>
      </c>
      <c r="AJ29" s="1066">
        <v>91525150</v>
      </c>
      <c r="AK29" s="1066">
        <f t="shared" si="19"/>
        <v>91778900</v>
      </c>
      <c r="AL29" s="1121">
        <f t="shared" si="17"/>
        <v>2.7724619954187456E-3</v>
      </c>
      <c r="AM29" s="1122">
        <f t="shared" si="18"/>
        <v>91778900</v>
      </c>
      <c r="AN29" s="1123">
        <f t="shared" si="6"/>
        <v>0.02</v>
      </c>
      <c r="AO29" s="1123">
        <f t="shared" si="7"/>
        <v>0</v>
      </c>
      <c r="AP29" s="1066">
        <v>435003</v>
      </c>
      <c r="AQ29" s="1066">
        <f t="shared" si="8"/>
        <v>5012748</v>
      </c>
      <c r="AR29" s="1066">
        <f>ROUND(AQ29/'Table 3 Levels 1&amp;2'!C29,2)</f>
        <v>1516.26</v>
      </c>
    </row>
    <row r="30" spans="1:44">
      <c r="A30" s="1062">
        <v>23</v>
      </c>
      <c r="B30" s="448" t="s">
        <v>199</v>
      </c>
      <c r="C30" s="390">
        <v>570798529</v>
      </c>
      <c r="D30" s="390">
        <v>109075320</v>
      </c>
      <c r="E30" s="390">
        <f t="shared" si="9"/>
        <v>461723209</v>
      </c>
      <c r="F30" s="390">
        <v>439316800</v>
      </c>
      <c r="G30" s="1109">
        <f t="shared" si="10"/>
        <v>5.1002850334883616E-2</v>
      </c>
      <c r="H30" s="1110">
        <f t="shared" si="1"/>
        <v>461723209</v>
      </c>
      <c r="I30" s="1111">
        <v>4.47</v>
      </c>
      <c r="J30" s="1112">
        <v>2027534</v>
      </c>
      <c r="K30" s="1111">
        <v>6.23</v>
      </c>
      <c r="L30" s="1112">
        <v>2849539</v>
      </c>
      <c r="M30" s="1113">
        <v>0</v>
      </c>
      <c r="N30" s="1113">
        <v>0</v>
      </c>
      <c r="O30" s="1113">
        <v>0</v>
      </c>
      <c r="P30" s="1112">
        <v>0</v>
      </c>
      <c r="Q30" s="1066">
        <f t="shared" si="11"/>
        <v>4877073</v>
      </c>
      <c r="R30" s="1113">
        <v>21.9</v>
      </c>
      <c r="S30" s="1112">
        <v>9906451</v>
      </c>
      <c r="T30" s="1113">
        <v>0</v>
      </c>
      <c r="U30" s="1113">
        <v>0</v>
      </c>
      <c r="V30" s="1113">
        <v>0</v>
      </c>
      <c r="W30" s="1112">
        <v>0</v>
      </c>
      <c r="X30" s="390">
        <f t="shared" si="12"/>
        <v>9906451</v>
      </c>
      <c r="Y30" s="1115">
        <f t="shared" si="13"/>
        <v>32.599999999999994</v>
      </c>
      <c r="Z30" s="390">
        <f t="shared" si="13"/>
        <v>14783524</v>
      </c>
      <c r="AA30" s="390">
        <f t="shared" si="14"/>
        <v>0</v>
      </c>
      <c r="AB30" s="1116">
        <f t="shared" si="2"/>
        <v>21.46</v>
      </c>
      <c r="AC30" s="1117">
        <f t="shared" si="3"/>
        <v>10.56</v>
      </c>
      <c r="AD30" s="1118">
        <f t="shared" si="4"/>
        <v>32.020000000000003</v>
      </c>
      <c r="AE30" s="1066">
        <f t="shared" si="15"/>
        <v>14783524</v>
      </c>
      <c r="AF30" s="1119">
        <v>0.02</v>
      </c>
      <c r="AG30" s="1067">
        <v>25079028</v>
      </c>
      <c r="AH30" s="1067">
        <v>0</v>
      </c>
      <c r="AI30" s="1120">
        <f t="shared" si="16"/>
        <v>25079028</v>
      </c>
      <c r="AJ30" s="1066">
        <v>1475736800</v>
      </c>
      <c r="AK30" s="1066">
        <f t="shared" si="19"/>
        <v>1253951400</v>
      </c>
      <c r="AL30" s="1121">
        <f t="shared" si="17"/>
        <v>-0.15028791041871423</v>
      </c>
      <c r="AM30" s="1122">
        <f t="shared" si="18"/>
        <v>1253951400</v>
      </c>
      <c r="AN30" s="1123">
        <f t="shared" si="6"/>
        <v>0.02</v>
      </c>
      <c r="AO30" s="1123">
        <f t="shared" si="7"/>
        <v>0</v>
      </c>
      <c r="AP30" s="1066">
        <v>558206</v>
      </c>
      <c r="AQ30" s="1066">
        <f t="shared" si="8"/>
        <v>40420758</v>
      </c>
      <c r="AR30" s="1066">
        <f>ROUND(AQ30/'Table 3 Levels 1&amp;2'!C30,2)</f>
        <v>3073.59</v>
      </c>
    </row>
    <row r="31" spans="1:44">
      <c r="A31" s="1062">
        <v>24</v>
      </c>
      <c r="B31" s="448" t="s">
        <v>200</v>
      </c>
      <c r="C31" s="390">
        <v>453157927</v>
      </c>
      <c r="D31" s="390">
        <v>44348857</v>
      </c>
      <c r="E31" s="390">
        <f t="shared" si="9"/>
        <v>408809070</v>
      </c>
      <c r="F31" s="390">
        <v>411050397</v>
      </c>
      <c r="G31" s="1109">
        <f t="shared" si="10"/>
        <v>-5.4526817547387021E-3</v>
      </c>
      <c r="H31" s="1110">
        <f t="shared" si="1"/>
        <v>408809070</v>
      </c>
      <c r="I31" s="1111">
        <v>3.49</v>
      </c>
      <c r="J31" s="1112">
        <v>1405385</v>
      </c>
      <c r="K31" s="1111">
        <v>53.17</v>
      </c>
      <c r="L31" s="1112">
        <v>21410979</v>
      </c>
      <c r="M31" s="1113">
        <v>0</v>
      </c>
      <c r="N31" s="1113">
        <v>0</v>
      </c>
      <c r="O31" s="1113">
        <v>0</v>
      </c>
      <c r="P31" s="1112">
        <v>0</v>
      </c>
      <c r="Q31" s="1066">
        <f t="shared" si="11"/>
        <v>22816364</v>
      </c>
      <c r="R31" s="1113">
        <v>0</v>
      </c>
      <c r="S31" s="1112">
        <v>0</v>
      </c>
      <c r="T31" s="1113">
        <v>0</v>
      </c>
      <c r="U31" s="1113">
        <v>0</v>
      </c>
      <c r="V31" s="1113">
        <v>0</v>
      </c>
      <c r="W31" s="1112">
        <v>0</v>
      </c>
      <c r="X31" s="390">
        <f t="shared" si="12"/>
        <v>0</v>
      </c>
      <c r="Y31" s="1115">
        <f t="shared" si="13"/>
        <v>56.660000000000004</v>
      </c>
      <c r="Z31" s="390">
        <f t="shared" si="13"/>
        <v>22816364</v>
      </c>
      <c r="AA31" s="390">
        <f t="shared" si="14"/>
        <v>0</v>
      </c>
      <c r="AB31" s="1116">
        <f t="shared" si="2"/>
        <v>0</v>
      </c>
      <c r="AC31" s="1117">
        <f t="shared" si="3"/>
        <v>55.81</v>
      </c>
      <c r="AD31" s="1118">
        <f t="shared" si="4"/>
        <v>55.81</v>
      </c>
      <c r="AE31" s="1066">
        <f t="shared" si="15"/>
        <v>22816364</v>
      </c>
      <c r="AF31" s="1119">
        <v>0.02</v>
      </c>
      <c r="AG31" s="1067">
        <v>20287426</v>
      </c>
      <c r="AH31" s="1067">
        <v>0</v>
      </c>
      <c r="AI31" s="1120">
        <f t="shared" si="16"/>
        <v>20287426</v>
      </c>
      <c r="AJ31" s="1066">
        <v>971516850</v>
      </c>
      <c r="AK31" s="1066">
        <f t="shared" si="19"/>
        <v>1014371300</v>
      </c>
      <c r="AL31" s="1121">
        <f t="shared" si="17"/>
        <v>4.4110866425013627E-2</v>
      </c>
      <c r="AM31" s="1122">
        <f t="shared" si="18"/>
        <v>1014371300</v>
      </c>
      <c r="AN31" s="1123">
        <f t="shared" si="6"/>
        <v>0.02</v>
      </c>
      <c r="AO31" s="1123">
        <f t="shared" si="7"/>
        <v>0</v>
      </c>
      <c r="AP31" s="1066">
        <v>150453</v>
      </c>
      <c r="AQ31" s="1066">
        <f t="shared" si="8"/>
        <v>43254243</v>
      </c>
      <c r="AR31" s="1066">
        <f>ROUND(AQ31/'Table 3 Levels 1&amp;2'!C31,2)</f>
        <v>9900.26</v>
      </c>
    </row>
    <row r="32" spans="1:44">
      <c r="A32" s="1064">
        <v>25</v>
      </c>
      <c r="B32" s="1124" t="s">
        <v>201</v>
      </c>
      <c r="C32" s="409">
        <v>206383930</v>
      </c>
      <c r="D32" s="409">
        <v>19070950</v>
      </c>
      <c r="E32" s="409">
        <f t="shared" si="9"/>
        <v>187312980</v>
      </c>
      <c r="F32" s="409">
        <v>177353620</v>
      </c>
      <c r="G32" s="1125">
        <f t="shared" si="10"/>
        <v>5.6155380420202308E-2</v>
      </c>
      <c r="H32" s="1126">
        <f t="shared" si="1"/>
        <v>187312980</v>
      </c>
      <c r="I32" s="1127">
        <v>4.4000000000000004</v>
      </c>
      <c r="J32" s="1128">
        <v>819506</v>
      </c>
      <c r="K32" s="1127">
        <v>19.079999999999998</v>
      </c>
      <c r="L32" s="1128">
        <v>3553666</v>
      </c>
      <c r="M32" s="1129">
        <v>0</v>
      </c>
      <c r="N32" s="1129">
        <v>0</v>
      </c>
      <c r="O32" s="1129">
        <v>0</v>
      </c>
      <c r="P32" s="1128">
        <v>0</v>
      </c>
      <c r="Q32" s="1069">
        <f t="shared" si="11"/>
        <v>4373172</v>
      </c>
      <c r="R32" s="1129">
        <v>0</v>
      </c>
      <c r="S32" s="1128">
        <v>347240</v>
      </c>
      <c r="T32" s="1129">
        <v>1</v>
      </c>
      <c r="U32" s="1129">
        <v>10</v>
      </c>
      <c r="V32" s="1129">
        <v>3</v>
      </c>
      <c r="W32" s="1128">
        <v>0</v>
      </c>
      <c r="X32" s="409">
        <f t="shared" si="12"/>
        <v>347240</v>
      </c>
      <c r="Y32" s="1130">
        <f t="shared" si="13"/>
        <v>23.479999999999997</v>
      </c>
      <c r="Z32" s="409">
        <f t="shared" si="13"/>
        <v>4720412</v>
      </c>
      <c r="AA32" s="409">
        <f t="shared" si="14"/>
        <v>0</v>
      </c>
      <c r="AB32" s="1131">
        <f t="shared" si="2"/>
        <v>1.85</v>
      </c>
      <c r="AC32" s="1132">
        <f t="shared" si="3"/>
        <v>23.35</v>
      </c>
      <c r="AD32" s="1133">
        <f t="shared" si="4"/>
        <v>25.2</v>
      </c>
      <c r="AE32" s="1069">
        <f t="shared" si="15"/>
        <v>4720412</v>
      </c>
      <c r="AF32" s="1134">
        <v>0.03</v>
      </c>
      <c r="AG32" s="1070">
        <v>9576229</v>
      </c>
      <c r="AH32" s="1070">
        <v>0</v>
      </c>
      <c r="AI32" s="1135">
        <f t="shared" si="16"/>
        <v>9576229</v>
      </c>
      <c r="AJ32" s="1069">
        <v>217317567</v>
      </c>
      <c r="AK32" s="1069">
        <f t="shared" si="19"/>
        <v>319207633</v>
      </c>
      <c r="AL32" s="1149">
        <f t="shared" si="17"/>
        <v>0.46885333480656904</v>
      </c>
      <c r="AM32" s="1150">
        <f t="shared" si="18"/>
        <v>249915202.04999998</v>
      </c>
      <c r="AN32" s="1138">
        <f t="shared" si="6"/>
        <v>3.0000000031327571E-2</v>
      </c>
      <c r="AO32" s="1138">
        <f t="shared" si="7"/>
        <v>0</v>
      </c>
      <c r="AP32" s="1069">
        <v>118059.5</v>
      </c>
      <c r="AQ32" s="1069">
        <f t="shared" si="8"/>
        <v>14414700.5</v>
      </c>
      <c r="AR32" s="1069">
        <f>ROUND(AQ32/'Table 3 Levels 1&amp;2'!C32,2)</f>
        <v>6579.05</v>
      </c>
    </row>
    <row r="33" spans="1:44" s="616" customFormat="1">
      <c r="A33" s="379">
        <v>26</v>
      </c>
      <c r="B33" s="1144" t="s">
        <v>202</v>
      </c>
      <c r="C33" s="1066">
        <v>4014690494</v>
      </c>
      <c r="D33" s="1066">
        <v>766827201</v>
      </c>
      <c r="E33" s="390">
        <f t="shared" si="9"/>
        <v>3247863293</v>
      </c>
      <c r="F33" s="1066">
        <v>3198387521</v>
      </c>
      <c r="G33" s="1109">
        <f t="shared" si="10"/>
        <v>1.5468973560943304E-2</v>
      </c>
      <c r="H33" s="1110">
        <f t="shared" si="1"/>
        <v>3247863293</v>
      </c>
      <c r="I33" s="1111">
        <v>2.91</v>
      </c>
      <c r="J33" s="1112">
        <v>9261839</v>
      </c>
      <c r="K33" s="1111">
        <v>20</v>
      </c>
      <c r="L33" s="1112">
        <v>63599998</v>
      </c>
      <c r="M33" s="1113">
        <v>0</v>
      </c>
      <c r="N33" s="1113">
        <v>0</v>
      </c>
      <c r="O33" s="1113">
        <v>0</v>
      </c>
      <c r="P33" s="1112">
        <v>0</v>
      </c>
      <c r="Q33" s="1066">
        <f t="shared" si="11"/>
        <v>72861837</v>
      </c>
      <c r="R33" s="1113">
        <v>0</v>
      </c>
      <c r="S33" s="1112">
        <v>0</v>
      </c>
      <c r="T33" s="1113">
        <v>0</v>
      </c>
      <c r="U33" s="1113">
        <v>0</v>
      </c>
      <c r="V33" s="1113">
        <v>0</v>
      </c>
      <c r="W33" s="1112">
        <v>0</v>
      </c>
      <c r="X33" s="1066">
        <f t="shared" si="12"/>
        <v>0</v>
      </c>
      <c r="Y33" s="1145">
        <f t="shared" si="13"/>
        <v>22.91</v>
      </c>
      <c r="Z33" s="1066">
        <f t="shared" si="13"/>
        <v>72861837</v>
      </c>
      <c r="AA33" s="1066">
        <f t="shared" si="14"/>
        <v>0</v>
      </c>
      <c r="AB33" s="1146">
        <f t="shared" si="2"/>
        <v>0</v>
      </c>
      <c r="AC33" s="1147">
        <f t="shared" si="3"/>
        <v>22.43</v>
      </c>
      <c r="AD33" s="1118">
        <f t="shared" si="4"/>
        <v>22.43</v>
      </c>
      <c r="AE33" s="1066">
        <f t="shared" si="15"/>
        <v>72861837</v>
      </c>
      <c r="AF33" s="1119">
        <v>0.02</v>
      </c>
      <c r="AG33" s="1067">
        <v>161332128</v>
      </c>
      <c r="AH33" s="1067">
        <v>0</v>
      </c>
      <c r="AI33" s="1120">
        <f t="shared" si="16"/>
        <v>161332128</v>
      </c>
      <c r="AJ33" s="1066">
        <v>8577879200</v>
      </c>
      <c r="AK33" s="1066">
        <f t="shared" si="19"/>
        <v>8066606400</v>
      </c>
      <c r="AL33" s="1121">
        <f t="shared" si="17"/>
        <v>-5.9603637225387834E-2</v>
      </c>
      <c r="AM33" s="1122">
        <f t="shared" si="18"/>
        <v>8066606400</v>
      </c>
      <c r="AN33" s="1123">
        <f t="shared" si="6"/>
        <v>0.02</v>
      </c>
      <c r="AO33" s="1123">
        <f t="shared" si="7"/>
        <v>0</v>
      </c>
      <c r="AP33" s="1066">
        <v>2197874</v>
      </c>
      <c r="AQ33" s="1066">
        <f t="shared" si="8"/>
        <v>236391839</v>
      </c>
      <c r="AR33" s="1066">
        <f>ROUND(AQ33/'Table 3 Levels 1&amp;2'!C33,2)</f>
        <v>5492.38</v>
      </c>
    </row>
    <row r="34" spans="1:44">
      <c r="A34" s="1062">
        <v>27</v>
      </c>
      <c r="B34" s="448" t="s">
        <v>203</v>
      </c>
      <c r="C34" s="390">
        <v>205789448</v>
      </c>
      <c r="D34" s="390">
        <v>45563200</v>
      </c>
      <c r="E34" s="390">
        <f t="shared" si="9"/>
        <v>160226248</v>
      </c>
      <c r="F34" s="390">
        <v>146567310</v>
      </c>
      <c r="G34" s="1109">
        <f t="shared" si="10"/>
        <v>9.3192254125425381E-2</v>
      </c>
      <c r="H34" s="1110">
        <f t="shared" si="1"/>
        <v>160226248</v>
      </c>
      <c r="I34" s="1111">
        <v>6.48</v>
      </c>
      <c r="J34" s="1112">
        <v>1044057</v>
      </c>
      <c r="K34" s="1111">
        <v>10.77</v>
      </c>
      <c r="L34" s="1112">
        <v>1735260</v>
      </c>
      <c r="M34" s="1113">
        <v>4.0199999999999996</v>
      </c>
      <c r="N34" s="1113">
        <v>16.37</v>
      </c>
      <c r="O34" s="1113">
        <v>7</v>
      </c>
      <c r="P34" s="1112">
        <v>1841110</v>
      </c>
      <c r="Q34" s="1066">
        <f t="shared" si="11"/>
        <v>4620427</v>
      </c>
      <c r="R34" s="1113">
        <v>0</v>
      </c>
      <c r="S34" s="1112">
        <v>0</v>
      </c>
      <c r="T34" s="1113">
        <v>5</v>
      </c>
      <c r="U34" s="1113">
        <v>19</v>
      </c>
      <c r="V34" s="1113">
        <v>7</v>
      </c>
      <c r="W34" s="1112">
        <v>2085064</v>
      </c>
      <c r="X34" s="390">
        <f t="shared" si="12"/>
        <v>2085064</v>
      </c>
      <c r="Y34" s="1115">
        <f t="shared" si="13"/>
        <v>17.25</v>
      </c>
      <c r="Z34" s="390">
        <f t="shared" si="13"/>
        <v>2779317</v>
      </c>
      <c r="AA34" s="390">
        <f t="shared" si="14"/>
        <v>3926174</v>
      </c>
      <c r="AB34" s="1116">
        <f t="shared" si="2"/>
        <v>13.01</v>
      </c>
      <c r="AC34" s="1117">
        <f t="shared" si="3"/>
        <v>28.84</v>
      </c>
      <c r="AD34" s="1118">
        <f t="shared" si="4"/>
        <v>41.85</v>
      </c>
      <c r="AE34" s="1066">
        <f t="shared" si="15"/>
        <v>6705491</v>
      </c>
      <c r="AF34" s="1119">
        <v>2.5000000000000001E-2</v>
      </c>
      <c r="AG34" s="1067">
        <v>8008837</v>
      </c>
      <c r="AH34" s="1067">
        <v>1269433</v>
      </c>
      <c r="AI34" s="1120">
        <f t="shared" si="16"/>
        <v>9278270</v>
      </c>
      <c r="AJ34" s="1066">
        <v>414859040</v>
      </c>
      <c r="AK34" s="1066">
        <f t="shared" si="19"/>
        <v>371130800</v>
      </c>
      <c r="AL34" s="1121">
        <f t="shared" si="17"/>
        <v>-0.10540505517247496</v>
      </c>
      <c r="AM34" s="1122">
        <f t="shared" si="18"/>
        <v>371130800</v>
      </c>
      <c r="AN34" s="1123">
        <f t="shared" si="6"/>
        <v>2.1579553623682E-2</v>
      </c>
      <c r="AO34" s="1123">
        <f t="shared" si="7"/>
        <v>3.4204463763179991E-3</v>
      </c>
      <c r="AP34" s="1066">
        <v>332313</v>
      </c>
      <c r="AQ34" s="1066">
        <f t="shared" si="8"/>
        <v>16316074</v>
      </c>
      <c r="AR34" s="1066">
        <f>ROUND(AQ34/'Table 3 Levels 1&amp;2'!C34,2)</f>
        <v>2914.11</v>
      </c>
    </row>
    <row r="35" spans="1:44">
      <c r="A35" s="1062">
        <v>28</v>
      </c>
      <c r="B35" s="448" t="s">
        <v>204</v>
      </c>
      <c r="C35" s="390">
        <v>1919805776</v>
      </c>
      <c r="D35" s="390">
        <v>339485535</v>
      </c>
      <c r="E35" s="390">
        <f t="shared" si="9"/>
        <v>1580320241</v>
      </c>
      <c r="F35" s="390">
        <v>1502430186</v>
      </c>
      <c r="G35" s="1109">
        <f t="shared" si="10"/>
        <v>5.1842711711863859E-2</v>
      </c>
      <c r="H35" s="1110">
        <f t="shared" si="1"/>
        <v>1580320241</v>
      </c>
      <c r="I35" s="1111">
        <v>4.59</v>
      </c>
      <c r="J35" s="1112">
        <v>6979323</v>
      </c>
      <c r="K35" s="1111">
        <v>28.97</v>
      </c>
      <c r="L35" s="1112">
        <v>44037347</v>
      </c>
      <c r="M35" s="1113">
        <v>0</v>
      </c>
      <c r="N35" s="1113">
        <v>0</v>
      </c>
      <c r="O35" s="1113">
        <v>0</v>
      </c>
      <c r="P35" s="1112">
        <v>0</v>
      </c>
      <c r="Q35" s="1066">
        <f t="shared" si="11"/>
        <v>51016670</v>
      </c>
      <c r="R35" s="1113">
        <v>0</v>
      </c>
      <c r="S35" s="1112">
        <v>1405</v>
      </c>
      <c r="T35" s="1113">
        <v>0</v>
      </c>
      <c r="U35" s="1113">
        <v>0</v>
      </c>
      <c r="V35" s="1113">
        <v>0</v>
      </c>
      <c r="W35" s="1112">
        <v>0</v>
      </c>
      <c r="X35" s="390">
        <f t="shared" si="12"/>
        <v>1405</v>
      </c>
      <c r="Y35" s="1115">
        <f t="shared" si="13"/>
        <v>33.56</v>
      </c>
      <c r="Z35" s="390">
        <f t="shared" si="13"/>
        <v>51018075</v>
      </c>
      <c r="AA35" s="390">
        <f t="shared" si="14"/>
        <v>0</v>
      </c>
      <c r="AB35" s="1116">
        <f t="shared" si="2"/>
        <v>0</v>
      </c>
      <c r="AC35" s="1117">
        <f t="shared" si="3"/>
        <v>32.28</v>
      </c>
      <c r="AD35" s="1118">
        <f t="shared" si="4"/>
        <v>32.28</v>
      </c>
      <c r="AE35" s="1066">
        <f t="shared" si="15"/>
        <v>51018075</v>
      </c>
      <c r="AF35" s="1119">
        <v>0.02</v>
      </c>
      <c r="AG35" s="1067">
        <v>83236815</v>
      </c>
      <c r="AH35" s="1067">
        <v>7509511</v>
      </c>
      <c r="AI35" s="1120">
        <f t="shared" si="16"/>
        <v>90746326</v>
      </c>
      <c r="AJ35" s="1066">
        <v>5021070050</v>
      </c>
      <c r="AK35" s="1066">
        <f t="shared" si="19"/>
        <v>4537316300</v>
      </c>
      <c r="AL35" s="1121">
        <f t="shared" si="17"/>
        <v>-9.6344752250568585E-2</v>
      </c>
      <c r="AM35" s="1122">
        <f t="shared" si="18"/>
        <v>4537316300</v>
      </c>
      <c r="AN35" s="1123">
        <f t="shared" si="6"/>
        <v>1.8344944345184841E-2</v>
      </c>
      <c r="AO35" s="1123">
        <f t="shared" si="7"/>
        <v>1.6550556548151603E-3</v>
      </c>
      <c r="AP35" s="1066">
        <v>2119644</v>
      </c>
      <c r="AQ35" s="1066">
        <f t="shared" si="8"/>
        <v>143884045</v>
      </c>
      <c r="AR35" s="1066">
        <f>ROUND(AQ35/'Table 3 Levels 1&amp;2'!C35,2)</f>
        <v>4875.6099999999997</v>
      </c>
    </row>
    <row r="36" spans="1:44">
      <c r="A36" s="1062">
        <v>29</v>
      </c>
      <c r="B36" s="448" t="s">
        <v>205</v>
      </c>
      <c r="C36" s="390">
        <v>813786050</v>
      </c>
      <c r="D36" s="390">
        <v>164034064</v>
      </c>
      <c r="E36" s="390">
        <f t="shared" si="9"/>
        <v>649751986</v>
      </c>
      <c r="F36" s="390">
        <v>604586811</v>
      </c>
      <c r="G36" s="1109">
        <f t="shared" si="10"/>
        <v>7.4704201577430712E-2</v>
      </c>
      <c r="H36" s="1110">
        <f t="shared" si="1"/>
        <v>649751986</v>
      </c>
      <c r="I36" s="1111">
        <v>3.63</v>
      </c>
      <c r="J36" s="1112">
        <v>2329396</v>
      </c>
      <c r="K36" s="1111">
        <v>22.47</v>
      </c>
      <c r="L36" s="1112">
        <v>14419151</v>
      </c>
      <c r="M36" s="1113">
        <v>0</v>
      </c>
      <c r="N36" s="1113">
        <v>0</v>
      </c>
      <c r="O36" s="1113">
        <v>0</v>
      </c>
      <c r="P36" s="1112">
        <v>0</v>
      </c>
      <c r="Q36" s="1066">
        <f t="shared" si="11"/>
        <v>16748547</v>
      </c>
      <c r="R36" s="1113">
        <v>17.2</v>
      </c>
      <c r="S36" s="1112">
        <v>11037356</v>
      </c>
      <c r="T36" s="1113">
        <v>0</v>
      </c>
      <c r="U36" s="1113">
        <v>0</v>
      </c>
      <c r="V36" s="1113">
        <v>0</v>
      </c>
      <c r="W36" s="1112">
        <v>0</v>
      </c>
      <c r="X36" s="390">
        <f t="shared" si="12"/>
        <v>11037356</v>
      </c>
      <c r="Y36" s="1115">
        <f t="shared" si="13"/>
        <v>43.3</v>
      </c>
      <c r="Z36" s="390">
        <f t="shared" si="13"/>
        <v>27785903</v>
      </c>
      <c r="AA36" s="390">
        <f t="shared" si="14"/>
        <v>0</v>
      </c>
      <c r="AB36" s="1116">
        <f t="shared" si="2"/>
        <v>16.989999999999998</v>
      </c>
      <c r="AC36" s="1117">
        <f t="shared" si="3"/>
        <v>25.78</v>
      </c>
      <c r="AD36" s="1118">
        <f t="shared" si="4"/>
        <v>42.76</v>
      </c>
      <c r="AE36" s="1066">
        <f t="shared" si="15"/>
        <v>27785903</v>
      </c>
      <c r="AF36" s="1119">
        <v>0.02</v>
      </c>
      <c r="AG36" s="1067">
        <v>25374941</v>
      </c>
      <c r="AH36" s="1067">
        <v>0</v>
      </c>
      <c r="AI36" s="1120">
        <f t="shared" si="16"/>
        <v>25374941</v>
      </c>
      <c r="AJ36" s="1066">
        <v>1502407400</v>
      </c>
      <c r="AK36" s="1066">
        <f t="shared" si="19"/>
        <v>1268747050</v>
      </c>
      <c r="AL36" s="1121">
        <f t="shared" si="17"/>
        <v>-0.15552396107740152</v>
      </c>
      <c r="AM36" s="1122">
        <f t="shared" si="18"/>
        <v>1268747050</v>
      </c>
      <c r="AN36" s="1123">
        <f t="shared" si="6"/>
        <v>0.02</v>
      </c>
      <c r="AO36" s="1123">
        <f t="shared" si="7"/>
        <v>0</v>
      </c>
      <c r="AP36" s="1066">
        <v>906922</v>
      </c>
      <c r="AQ36" s="1066">
        <f t="shared" si="8"/>
        <v>54067766</v>
      </c>
      <c r="AR36" s="1066">
        <f>ROUND(AQ36/'Table 3 Levels 1&amp;2'!C36,2)</f>
        <v>4017.52</v>
      </c>
    </row>
    <row r="37" spans="1:44">
      <c r="A37" s="1064">
        <v>30</v>
      </c>
      <c r="B37" s="1124" t="s">
        <v>206</v>
      </c>
      <c r="C37" s="409">
        <v>82219370</v>
      </c>
      <c r="D37" s="409">
        <v>20172147</v>
      </c>
      <c r="E37" s="409">
        <f t="shared" si="9"/>
        <v>62047223</v>
      </c>
      <c r="F37" s="409">
        <v>50830455</v>
      </c>
      <c r="G37" s="1151">
        <f t="shared" si="10"/>
        <v>0.22067022614690346</v>
      </c>
      <c r="H37" s="1152">
        <f t="shared" si="1"/>
        <v>55913500.500000007</v>
      </c>
      <c r="I37" s="1127">
        <v>5.14</v>
      </c>
      <c r="J37" s="1128">
        <v>302274</v>
      </c>
      <c r="K37" s="1127">
        <v>43.92</v>
      </c>
      <c r="L37" s="1128">
        <v>2569091</v>
      </c>
      <c r="M37" s="1129">
        <v>0</v>
      </c>
      <c r="N37" s="1129">
        <v>0</v>
      </c>
      <c r="O37" s="1129">
        <v>0</v>
      </c>
      <c r="P37" s="1128">
        <v>0</v>
      </c>
      <c r="Q37" s="1069">
        <f t="shared" si="11"/>
        <v>2871365</v>
      </c>
      <c r="R37" s="1129">
        <v>1.43</v>
      </c>
      <c r="S37" s="1128">
        <v>74880</v>
      </c>
      <c r="T37" s="1129">
        <v>0</v>
      </c>
      <c r="U37" s="1129">
        <v>0</v>
      </c>
      <c r="V37" s="1129">
        <v>0</v>
      </c>
      <c r="W37" s="1128">
        <v>0</v>
      </c>
      <c r="X37" s="409">
        <f t="shared" si="12"/>
        <v>74880</v>
      </c>
      <c r="Y37" s="1130">
        <f t="shared" si="13"/>
        <v>50.49</v>
      </c>
      <c r="Z37" s="409">
        <f t="shared" si="13"/>
        <v>2946245</v>
      </c>
      <c r="AA37" s="409">
        <f t="shared" si="14"/>
        <v>0</v>
      </c>
      <c r="AB37" s="1131">
        <f t="shared" si="2"/>
        <v>1.21</v>
      </c>
      <c r="AC37" s="1132">
        <f t="shared" si="3"/>
        <v>46.28</v>
      </c>
      <c r="AD37" s="1133">
        <f t="shared" si="4"/>
        <v>47.48</v>
      </c>
      <c r="AE37" s="1069">
        <f t="shared" si="15"/>
        <v>2946245</v>
      </c>
      <c r="AF37" s="1134">
        <v>0.03</v>
      </c>
      <c r="AG37" s="1070">
        <v>3542766</v>
      </c>
      <c r="AH37" s="1070">
        <v>1745006</v>
      </c>
      <c r="AI37" s="1135">
        <f t="shared" si="16"/>
        <v>5287772</v>
      </c>
      <c r="AJ37" s="1069">
        <v>199650967</v>
      </c>
      <c r="AK37" s="1069">
        <f t="shared" si="19"/>
        <v>176259067</v>
      </c>
      <c r="AL37" s="1136">
        <f t="shared" si="17"/>
        <v>-0.11716397046050871</v>
      </c>
      <c r="AM37" s="1137">
        <f t="shared" si="18"/>
        <v>176259067</v>
      </c>
      <c r="AN37" s="1138">
        <f t="shared" si="6"/>
        <v>2.0099765988208708E-2</v>
      </c>
      <c r="AO37" s="1138">
        <f t="shared" si="7"/>
        <v>9.9002339550566219E-3</v>
      </c>
      <c r="AP37" s="1069">
        <v>82921</v>
      </c>
      <c r="AQ37" s="1069">
        <f t="shared" si="8"/>
        <v>8316938</v>
      </c>
      <c r="AR37" s="1069">
        <f>ROUND(AQ37/'Table 3 Levels 1&amp;2'!C37,2)</f>
        <v>3408.58</v>
      </c>
    </row>
    <row r="38" spans="1:44">
      <c r="A38" s="1062">
        <v>31</v>
      </c>
      <c r="B38" s="448" t="s">
        <v>207</v>
      </c>
      <c r="C38" s="390">
        <v>408580995</v>
      </c>
      <c r="D38" s="390">
        <v>56496942</v>
      </c>
      <c r="E38" s="390">
        <f t="shared" si="9"/>
        <v>352084053</v>
      </c>
      <c r="F38" s="390">
        <v>313785485</v>
      </c>
      <c r="G38" s="1141">
        <f t="shared" si="10"/>
        <v>0.12205334481931183</v>
      </c>
      <c r="H38" s="1142">
        <f t="shared" si="1"/>
        <v>345164033.5</v>
      </c>
      <c r="I38" s="1111">
        <v>4.79</v>
      </c>
      <c r="J38" s="1112">
        <v>1484257</v>
      </c>
      <c r="K38" s="1111">
        <v>31.1</v>
      </c>
      <c r="L38" s="1112">
        <v>10067701</v>
      </c>
      <c r="M38" s="1113">
        <v>4.9400000000000004</v>
      </c>
      <c r="N38" s="1113">
        <v>11.61</v>
      </c>
      <c r="O38" s="1113">
        <v>3</v>
      </c>
      <c r="P38" s="1112">
        <v>853126</v>
      </c>
      <c r="Q38" s="1066">
        <f t="shared" si="11"/>
        <v>12405084</v>
      </c>
      <c r="R38" s="1113">
        <v>0</v>
      </c>
      <c r="S38" s="1112">
        <v>0</v>
      </c>
      <c r="T38" s="1113">
        <v>16.95</v>
      </c>
      <c r="U38" s="1113">
        <v>22.5</v>
      </c>
      <c r="V38" s="1113">
        <v>3</v>
      </c>
      <c r="W38" s="1112">
        <v>2948090</v>
      </c>
      <c r="X38" s="390">
        <f t="shared" si="12"/>
        <v>2948090</v>
      </c>
      <c r="Y38" s="1115">
        <f t="shared" si="13"/>
        <v>35.89</v>
      </c>
      <c r="Z38" s="390">
        <f t="shared" si="13"/>
        <v>11551958</v>
      </c>
      <c r="AA38" s="390">
        <f t="shared" si="14"/>
        <v>3801216</v>
      </c>
      <c r="AB38" s="1116">
        <f t="shared" si="2"/>
        <v>8.3699999999999992</v>
      </c>
      <c r="AC38" s="1117">
        <f t="shared" si="3"/>
        <v>35.229999999999997</v>
      </c>
      <c r="AD38" s="1118">
        <f t="shared" si="4"/>
        <v>43.61</v>
      </c>
      <c r="AE38" s="1066">
        <f t="shared" si="15"/>
        <v>15353174</v>
      </c>
      <c r="AF38" s="1119">
        <v>0.02</v>
      </c>
      <c r="AG38" s="1067">
        <v>13737876</v>
      </c>
      <c r="AH38" s="1067">
        <v>0</v>
      </c>
      <c r="AI38" s="1120">
        <f t="shared" si="16"/>
        <v>13737876</v>
      </c>
      <c r="AJ38" s="1066">
        <v>856797750</v>
      </c>
      <c r="AK38" s="1066">
        <f t="shared" si="19"/>
        <v>686893800</v>
      </c>
      <c r="AL38" s="1121">
        <f t="shared" si="17"/>
        <v>-0.19830111598682421</v>
      </c>
      <c r="AM38" s="1122">
        <f t="shared" si="18"/>
        <v>686893800</v>
      </c>
      <c r="AN38" s="1123">
        <f t="shared" si="6"/>
        <v>0.02</v>
      </c>
      <c r="AO38" s="1123">
        <f t="shared" si="7"/>
        <v>0</v>
      </c>
      <c r="AP38" s="1066">
        <v>309727</v>
      </c>
      <c r="AQ38" s="1066">
        <f t="shared" si="8"/>
        <v>29400777</v>
      </c>
      <c r="AR38" s="1066">
        <f>ROUND(AQ38/'Table 3 Levels 1&amp;2'!C38,2)</f>
        <v>4544.17</v>
      </c>
    </row>
    <row r="39" spans="1:44">
      <c r="A39" s="1062">
        <v>32</v>
      </c>
      <c r="B39" s="448" t="s">
        <v>208</v>
      </c>
      <c r="C39" s="390">
        <v>598288220</v>
      </c>
      <c r="D39" s="390">
        <v>212868900</v>
      </c>
      <c r="E39" s="390">
        <f t="shared" si="9"/>
        <v>385419320</v>
      </c>
      <c r="F39" s="390">
        <v>363207300</v>
      </c>
      <c r="G39" s="1109">
        <f t="shared" si="10"/>
        <v>6.1155213565366115E-2</v>
      </c>
      <c r="H39" s="1110">
        <f t="shared" si="1"/>
        <v>385419320</v>
      </c>
      <c r="I39" s="1111">
        <v>3.29</v>
      </c>
      <c r="J39" s="1112">
        <v>1245812</v>
      </c>
      <c r="K39" s="1111">
        <v>19.18</v>
      </c>
      <c r="L39" s="1112">
        <v>7262872</v>
      </c>
      <c r="M39" s="1113">
        <v>0</v>
      </c>
      <c r="N39" s="1113">
        <v>0</v>
      </c>
      <c r="O39" s="1113">
        <v>0</v>
      </c>
      <c r="P39" s="1112">
        <v>0</v>
      </c>
      <c r="Q39" s="1066">
        <f t="shared" si="11"/>
        <v>8508684</v>
      </c>
      <c r="R39" s="1113">
        <v>0</v>
      </c>
      <c r="S39" s="1112">
        <v>0</v>
      </c>
      <c r="T39" s="1113">
        <v>11.94</v>
      </c>
      <c r="U39" s="1113">
        <v>54.36</v>
      </c>
      <c r="V39" s="1113">
        <v>10</v>
      </c>
      <c r="W39" s="1112">
        <v>6612039</v>
      </c>
      <c r="X39" s="390">
        <f t="shared" si="12"/>
        <v>6612039</v>
      </c>
      <c r="Y39" s="1115">
        <f t="shared" si="13"/>
        <v>22.47</v>
      </c>
      <c r="Z39" s="390">
        <f t="shared" si="13"/>
        <v>8508684</v>
      </c>
      <c r="AA39" s="390">
        <f t="shared" si="14"/>
        <v>6612039</v>
      </c>
      <c r="AB39" s="1116">
        <f t="shared" si="2"/>
        <v>17.16</v>
      </c>
      <c r="AC39" s="1117">
        <f t="shared" si="3"/>
        <v>22.08</v>
      </c>
      <c r="AD39" s="1118">
        <f t="shared" si="4"/>
        <v>39.229999999999997</v>
      </c>
      <c r="AE39" s="1066">
        <f t="shared" si="15"/>
        <v>15120723</v>
      </c>
      <c r="AF39" s="1119">
        <v>2.5000000000000001E-2</v>
      </c>
      <c r="AG39" s="1067">
        <v>29136253</v>
      </c>
      <c r="AH39" s="1067">
        <v>913691</v>
      </c>
      <c r="AI39" s="1153">
        <f>AG39+AH39+616364</f>
        <v>30666308</v>
      </c>
      <c r="AJ39" s="1066">
        <v>1348160600</v>
      </c>
      <c r="AK39" s="1066">
        <f t="shared" si="19"/>
        <v>1226652320</v>
      </c>
      <c r="AL39" s="1121">
        <f t="shared" si="17"/>
        <v>-9.0128935677247946E-2</v>
      </c>
      <c r="AM39" s="1122">
        <f t="shared" si="18"/>
        <v>1226652320</v>
      </c>
      <c r="AN39" s="1123">
        <f t="shared" si="6"/>
        <v>2.3752657965869253E-2</v>
      </c>
      <c r="AO39" s="1123">
        <f t="shared" si="7"/>
        <v>7.4486550516612566E-4</v>
      </c>
      <c r="AP39" s="1066">
        <v>897436.5</v>
      </c>
      <c r="AQ39" s="1066">
        <f t="shared" si="8"/>
        <v>46684467.5</v>
      </c>
      <c r="AR39" s="1066">
        <f>ROUND(AQ39/'Table 3 Levels 1&amp;2'!C39,2)</f>
        <v>1941.14</v>
      </c>
    </row>
    <row r="40" spans="1:44">
      <c r="A40" s="1062">
        <v>33</v>
      </c>
      <c r="B40" s="448" t="s">
        <v>209</v>
      </c>
      <c r="C40" s="390">
        <v>102006062</v>
      </c>
      <c r="D40" s="390">
        <v>10196793</v>
      </c>
      <c r="E40" s="390">
        <f t="shared" si="9"/>
        <v>91809269</v>
      </c>
      <c r="F40" s="390">
        <v>67404686</v>
      </c>
      <c r="G40" s="1141">
        <f t="shared" si="10"/>
        <v>0.36206062884114615</v>
      </c>
      <c r="H40" s="1142">
        <f t="shared" si="1"/>
        <v>74145154.600000009</v>
      </c>
      <c r="I40" s="1111">
        <v>4.76</v>
      </c>
      <c r="J40" s="1112">
        <v>423855</v>
      </c>
      <c r="K40" s="1111">
        <v>5.27</v>
      </c>
      <c r="L40" s="1112">
        <v>469265</v>
      </c>
      <c r="M40" s="1113">
        <v>0</v>
      </c>
      <c r="N40" s="1113">
        <v>0</v>
      </c>
      <c r="O40" s="1113">
        <v>0</v>
      </c>
      <c r="P40" s="1112">
        <v>0</v>
      </c>
      <c r="Q40" s="1066">
        <f t="shared" si="11"/>
        <v>893120</v>
      </c>
      <c r="R40" s="1113">
        <v>14.85</v>
      </c>
      <c r="S40" s="1112">
        <v>1332427</v>
      </c>
      <c r="T40" s="1113">
        <v>0</v>
      </c>
      <c r="U40" s="1113">
        <v>0</v>
      </c>
      <c r="V40" s="1113">
        <v>0</v>
      </c>
      <c r="W40" s="1112">
        <v>0</v>
      </c>
      <c r="X40" s="390">
        <f t="shared" si="12"/>
        <v>1332427</v>
      </c>
      <c r="Y40" s="1115">
        <f t="shared" si="13"/>
        <v>24.88</v>
      </c>
      <c r="Z40" s="390">
        <f t="shared" si="13"/>
        <v>2225547</v>
      </c>
      <c r="AA40" s="390">
        <f t="shared" si="14"/>
        <v>0</v>
      </c>
      <c r="AB40" s="1116">
        <f t="shared" si="2"/>
        <v>14.51</v>
      </c>
      <c r="AC40" s="1117">
        <f t="shared" si="3"/>
        <v>9.73</v>
      </c>
      <c r="AD40" s="1118">
        <f t="shared" si="4"/>
        <v>24.24</v>
      </c>
      <c r="AE40" s="1066">
        <f t="shared" si="15"/>
        <v>2225547</v>
      </c>
      <c r="AF40" s="1119">
        <v>2.5000000000000001E-2</v>
      </c>
      <c r="AG40" s="1067">
        <v>2336116</v>
      </c>
      <c r="AH40" s="1067">
        <v>1557403</v>
      </c>
      <c r="AI40" s="1120">
        <f t="shared" si="16"/>
        <v>3893519</v>
      </c>
      <c r="AJ40" s="1066">
        <v>128841000</v>
      </c>
      <c r="AK40" s="1066">
        <f t="shared" si="19"/>
        <v>155740760</v>
      </c>
      <c r="AL40" s="1139">
        <f t="shared" si="17"/>
        <v>0.20878260802073875</v>
      </c>
      <c r="AM40" s="1140">
        <f t="shared" si="18"/>
        <v>148167150</v>
      </c>
      <c r="AN40" s="1123">
        <f t="shared" si="6"/>
        <v>1.5000029536262697E-2</v>
      </c>
      <c r="AO40" s="1123">
        <f t="shared" si="7"/>
        <v>9.9999704637373024E-3</v>
      </c>
      <c r="AP40" s="1066">
        <v>128909</v>
      </c>
      <c r="AQ40" s="1066">
        <f t="shared" si="8"/>
        <v>6247975</v>
      </c>
      <c r="AR40" s="1066">
        <f>ROUND(AQ40/'Table 3 Levels 1&amp;2'!C40,2)</f>
        <v>3410.47</v>
      </c>
    </row>
    <row r="41" spans="1:44">
      <c r="A41" s="1062">
        <v>34</v>
      </c>
      <c r="B41" s="448" t="s">
        <v>210</v>
      </c>
      <c r="C41" s="390">
        <v>186790530</v>
      </c>
      <c r="D41" s="390">
        <v>36620503</v>
      </c>
      <c r="E41" s="390">
        <f t="shared" si="9"/>
        <v>150170027</v>
      </c>
      <c r="F41" s="390">
        <v>145264624</v>
      </c>
      <c r="G41" s="1109">
        <f t="shared" si="10"/>
        <v>3.3768737803637587E-2</v>
      </c>
      <c r="H41" s="1110">
        <f t="shared" si="1"/>
        <v>150170027</v>
      </c>
      <c r="I41" s="1111">
        <v>5.22</v>
      </c>
      <c r="J41" s="1112">
        <v>767282</v>
      </c>
      <c r="K41" s="1111">
        <v>22.46</v>
      </c>
      <c r="L41" s="1112">
        <v>3299907</v>
      </c>
      <c r="M41" s="1113">
        <v>5</v>
      </c>
      <c r="N41" s="1113">
        <v>9.9499999999999993</v>
      </c>
      <c r="O41" s="1113">
        <v>2</v>
      </c>
      <c r="P41" s="1112">
        <v>406473</v>
      </c>
      <c r="Q41" s="1066">
        <f t="shared" si="11"/>
        <v>4473662</v>
      </c>
      <c r="R41" s="1113">
        <v>10</v>
      </c>
      <c r="S41" s="1112">
        <v>1469054</v>
      </c>
      <c r="T41" s="1113">
        <v>0</v>
      </c>
      <c r="U41" s="1113">
        <v>0</v>
      </c>
      <c r="V41" s="1113">
        <v>0</v>
      </c>
      <c r="W41" s="1112">
        <v>0</v>
      </c>
      <c r="X41" s="390">
        <f t="shared" si="12"/>
        <v>1469054</v>
      </c>
      <c r="Y41" s="1115">
        <f t="shared" si="13"/>
        <v>37.68</v>
      </c>
      <c r="Z41" s="390">
        <f t="shared" si="13"/>
        <v>5536243</v>
      </c>
      <c r="AA41" s="390">
        <f t="shared" si="14"/>
        <v>406473</v>
      </c>
      <c r="AB41" s="1116">
        <f t="shared" si="2"/>
        <v>9.7799999999999994</v>
      </c>
      <c r="AC41" s="1117">
        <f t="shared" si="3"/>
        <v>29.79</v>
      </c>
      <c r="AD41" s="1118">
        <f t="shared" si="4"/>
        <v>39.57</v>
      </c>
      <c r="AE41" s="1066">
        <f t="shared" si="15"/>
        <v>5942716</v>
      </c>
      <c r="AF41" s="1119">
        <v>0.02</v>
      </c>
      <c r="AG41" s="1067">
        <v>5508612</v>
      </c>
      <c r="AH41" s="1067">
        <v>0</v>
      </c>
      <c r="AI41" s="1120">
        <f t="shared" si="16"/>
        <v>5508612</v>
      </c>
      <c r="AJ41" s="1066">
        <v>301063000</v>
      </c>
      <c r="AK41" s="1066">
        <f t="shared" si="19"/>
        <v>275430600</v>
      </c>
      <c r="AL41" s="1121">
        <f t="shared" si="17"/>
        <v>-8.5139655155233293E-2</v>
      </c>
      <c r="AM41" s="1122">
        <f t="shared" si="18"/>
        <v>275430600</v>
      </c>
      <c r="AN41" s="1123">
        <f t="shared" si="6"/>
        <v>0.02</v>
      </c>
      <c r="AO41" s="1123">
        <f t="shared" si="7"/>
        <v>0</v>
      </c>
      <c r="AP41" s="1066">
        <v>281502</v>
      </c>
      <c r="AQ41" s="1066">
        <f t="shared" si="8"/>
        <v>11732830</v>
      </c>
      <c r="AR41" s="1066">
        <f>ROUND(AQ41/'Table 3 Levels 1&amp;2'!C41,2)</f>
        <v>2687.93</v>
      </c>
    </row>
    <row r="42" spans="1:44">
      <c r="A42" s="1064">
        <v>35</v>
      </c>
      <c r="B42" s="1124" t="s">
        <v>211</v>
      </c>
      <c r="C42" s="409">
        <v>258066550</v>
      </c>
      <c r="D42" s="409">
        <v>50767726</v>
      </c>
      <c r="E42" s="409">
        <f t="shared" si="9"/>
        <v>207298824</v>
      </c>
      <c r="F42" s="409">
        <v>201862034</v>
      </c>
      <c r="G42" s="1125">
        <f t="shared" si="10"/>
        <v>2.6933197353990794E-2</v>
      </c>
      <c r="H42" s="1126">
        <f t="shared" si="1"/>
        <v>207298824</v>
      </c>
      <c r="I42" s="1127">
        <v>4.6500000000000004</v>
      </c>
      <c r="J42" s="1128">
        <v>922284</v>
      </c>
      <c r="K42" s="1127">
        <v>7</v>
      </c>
      <c r="L42" s="1128">
        <v>1388385</v>
      </c>
      <c r="M42" s="1129">
        <v>7</v>
      </c>
      <c r="N42" s="1129">
        <v>20</v>
      </c>
      <c r="O42" s="1129">
        <v>5</v>
      </c>
      <c r="P42" s="1128">
        <v>1462503</v>
      </c>
      <c r="Q42" s="1069">
        <f t="shared" si="11"/>
        <v>3773172</v>
      </c>
      <c r="R42" s="1129">
        <v>0</v>
      </c>
      <c r="S42" s="1128">
        <v>0</v>
      </c>
      <c r="T42" s="1129">
        <v>12.5</v>
      </c>
      <c r="U42" s="1129">
        <v>24</v>
      </c>
      <c r="V42" s="1129">
        <v>3</v>
      </c>
      <c r="W42" s="1128">
        <v>2568937</v>
      </c>
      <c r="X42" s="409">
        <f t="shared" si="12"/>
        <v>2568937</v>
      </c>
      <c r="Y42" s="1130">
        <f t="shared" si="13"/>
        <v>11.65</v>
      </c>
      <c r="Z42" s="409">
        <f t="shared" si="13"/>
        <v>2310669</v>
      </c>
      <c r="AA42" s="409">
        <f t="shared" si="14"/>
        <v>4031440</v>
      </c>
      <c r="AB42" s="1131">
        <f t="shared" si="2"/>
        <v>12.39</v>
      </c>
      <c r="AC42" s="1132">
        <f t="shared" si="3"/>
        <v>18.2</v>
      </c>
      <c r="AD42" s="1133">
        <f t="shared" si="4"/>
        <v>30.59</v>
      </c>
      <c r="AE42" s="1069">
        <f t="shared" si="15"/>
        <v>6342109</v>
      </c>
      <c r="AF42" s="1134">
        <v>0.02</v>
      </c>
      <c r="AG42" s="1070">
        <v>10991076</v>
      </c>
      <c r="AH42" s="1070">
        <v>0</v>
      </c>
      <c r="AI42" s="1135">
        <f t="shared" si="16"/>
        <v>10991076</v>
      </c>
      <c r="AJ42" s="1069">
        <v>571269550</v>
      </c>
      <c r="AK42" s="1069">
        <f t="shared" si="19"/>
        <v>549553800</v>
      </c>
      <c r="AL42" s="1136">
        <f t="shared" si="17"/>
        <v>-3.8013141081998859E-2</v>
      </c>
      <c r="AM42" s="1137">
        <f t="shared" si="18"/>
        <v>549553800</v>
      </c>
      <c r="AN42" s="1138">
        <f t="shared" si="6"/>
        <v>0.02</v>
      </c>
      <c r="AO42" s="1138">
        <f t="shared" si="7"/>
        <v>0</v>
      </c>
      <c r="AP42" s="1069">
        <v>542988.5</v>
      </c>
      <c r="AQ42" s="1069">
        <f t="shared" si="8"/>
        <v>17876173.5</v>
      </c>
      <c r="AR42" s="1069">
        <f>ROUND(AQ42/'Table 3 Levels 1&amp;2'!C42,2)</f>
        <v>2776.67</v>
      </c>
    </row>
    <row r="43" spans="1:44">
      <c r="A43" s="1062">
        <v>36</v>
      </c>
      <c r="B43" s="448" t="s">
        <v>74</v>
      </c>
      <c r="C43" s="390">
        <v>3041047270</v>
      </c>
      <c r="D43" s="390">
        <v>362665406</v>
      </c>
      <c r="E43" s="390">
        <f t="shared" si="9"/>
        <v>2678381864</v>
      </c>
      <c r="F43" s="390">
        <v>2589329084</v>
      </c>
      <c r="G43" s="1109">
        <f t="shared" si="10"/>
        <v>3.4392221734300038E-2</v>
      </c>
      <c r="H43" s="1110">
        <f t="shared" si="1"/>
        <v>2678381864</v>
      </c>
      <c r="I43" s="1111">
        <v>25.76</v>
      </c>
      <c r="J43" s="1112">
        <v>64527083</v>
      </c>
      <c r="K43" s="1111">
        <v>12.69</v>
      </c>
      <c r="L43" s="1112">
        <v>31787579</v>
      </c>
      <c r="M43" s="1113">
        <v>0</v>
      </c>
      <c r="N43" s="1113">
        <v>0</v>
      </c>
      <c r="O43" s="1113">
        <v>0</v>
      </c>
      <c r="P43" s="1112">
        <v>0</v>
      </c>
      <c r="Q43" s="1066">
        <f t="shared" si="11"/>
        <v>96314662</v>
      </c>
      <c r="R43" s="1113">
        <v>5.67</v>
      </c>
      <c r="S43" s="1112">
        <v>14202961</v>
      </c>
      <c r="T43" s="1113">
        <v>0</v>
      </c>
      <c r="U43" s="1113">
        <v>0</v>
      </c>
      <c r="V43" s="1113">
        <v>0</v>
      </c>
      <c r="W43" s="1112">
        <v>0</v>
      </c>
      <c r="X43" s="390">
        <f t="shared" si="12"/>
        <v>14202961</v>
      </c>
      <c r="Y43" s="1115">
        <f t="shared" si="13"/>
        <v>44.120000000000005</v>
      </c>
      <c r="Z43" s="390">
        <f t="shared" si="13"/>
        <v>110517623</v>
      </c>
      <c r="AA43" s="390">
        <f t="shared" si="14"/>
        <v>0</v>
      </c>
      <c r="AB43" s="1116">
        <f t="shared" si="2"/>
        <v>5.3</v>
      </c>
      <c r="AC43" s="1117">
        <f t="shared" si="3"/>
        <v>35.96</v>
      </c>
      <c r="AD43" s="1118">
        <f t="shared" si="4"/>
        <v>41.26</v>
      </c>
      <c r="AE43" s="1066">
        <f t="shared" si="15"/>
        <v>110517623</v>
      </c>
      <c r="AF43" s="1119">
        <v>1.4999999999999999E-2</v>
      </c>
      <c r="AG43" s="1067">
        <f>69161856-54750</f>
        <v>69107106</v>
      </c>
      <c r="AH43" s="1067">
        <v>15812152</v>
      </c>
      <c r="AI43" s="1120">
        <f t="shared" si="16"/>
        <v>84919258</v>
      </c>
      <c r="AJ43" s="1066">
        <v>5290329267</v>
      </c>
      <c r="AK43" s="1066">
        <f t="shared" si="19"/>
        <v>5661283867</v>
      </c>
      <c r="AL43" s="1121">
        <f t="shared" si="17"/>
        <v>7.0119378450399963E-2</v>
      </c>
      <c r="AM43" s="1122">
        <f t="shared" si="18"/>
        <v>5661283867</v>
      </c>
      <c r="AN43" s="1123">
        <f t="shared" si="6"/>
        <v>1.2206967116210143E-2</v>
      </c>
      <c r="AO43" s="1123">
        <f t="shared" si="7"/>
        <v>2.7930328829066644E-3</v>
      </c>
      <c r="AP43" s="1066">
        <v>1625992</v>
      </c>
      <c r="AQ43" s="1066">
        <f t="shared" si="8"/>
        <v>197062873</v>
      </c>
      <c r="AR43" s="1066">
        <f>ROUND(AQ43/'Table 3 Levels 1&amp;2'!C43,2)</f>
        <v>5267.79</v>
      </c>
    </row>
    <row r="44" spans="1:44">
      <c r="A44" s="1062">
        <v>37</v>
      </c>
      <c r="B44" s="448" t="s">
        <v>213</v>
      </c>
      <c r="C44" s="390">
        <v>661632391</v>
      </c>
      <c r="D44" s="390">
        <v>153262585</v>
      </c>
      <c r="E44" s="390">
        <f t="shared" si="9"/>
        <v>508369806</v>
      </c>
      <c r="F44" s="390">
        <v>466152890</v>
      </c>
      <c r="G44" s="1109">
        <f t="shared" si="10"/>
        <v>9.056452701601829E-2</v>
      </c>
      <c r="H44" s="1110">
        <f t="shared" si="1"/>
        <v>508369806</v>
      </c>
      <c r="I44" s="1111">
        <v>5.18</v>
      </c>
      <c r="J44" s="1112">
        <v>2599577</v>
      </c>
      <c r="K44" s="1111">
        <v>24.15</v>
      </c>
      <c r="L44" s="1112">
        <v>12119581</v>
      </c>
      <c r="M44" s="1113">
        <v>0</v>
      </c>
      <c r="N44" s="1113">
        <v>0</v>
      </c>
      <c r="O44" s="1113">
        <v>0</v>
      </c>
      <c r="P44" s="1112">
        <v>0</v>
      </c>
      <c r="Q44" s="1066">
        <f t="shared" si="11"/>
        <v>14719158</v>
      </c>
      <c r="R44" s="1113">
        <v>0</v>
      </c>
      <c r="S44" s="1112">
        <v>5290132</v>
      </c>
      <c r="T44" s="1113">
        <v>30</v>
      </c>
      <c r="U44" s="1113">
        <v>30</v>
      </c>
      <c r="V44" s="1113">
        <v>2</v>
      </c>
      <c r="W44" s="1112">
        <v>0</v>
      </c>
      <c r="X44" s="390">
        <f t="shared" si="12"/>
        <v>5290132</v>
      </c>
      <c r="Y44" s="1115">
        <f t="shared" si="13"/>
        <v>29.33</v>
      </c>
      <c r="Z44" s="390">
        <f t="shared" si="13"/>
        <v>20009290</v>
      </c>
      <c r="AA44" s="390">
        <f t="shared" si="14"/>
        <v>0</v>
      </c>
      <c r="AB44" s="1116">
        <f t="shared" si="2"/>
        <v>10.41</v>
      </c>
      <c r="AC44" s="1117">
        <f t="shared" si="3"/>
        <v>28.95</v>
      </c>
      <c r="AD44" s="1118">
        <f t="shared" si="4"/>
        <v>39.36</v>
      </c>
      <c r="AE44" s="1066">
        <f t="shared" si="15"/>
        <v>20009290</v>
      </c>
      <c r="AF44" s="1119">
        <v>0.03</v>
      </c>
      <c r="AG44" s="1067">
        <v>35355711</v>
      </c>
      <c r="AH44" s="1067">
        <v>0</v>
      </c>
      <c r="AI44" s="1120">
        <f t="shared" si="16"/>
        <v>35355711</v>
      </c>
      <c r="AJ44" s="1066">
        <v>1256576500</v>
      </c>
      <c r="AK44" s="1066">
        <f t="shared" si="19"/>
        <v>1178523700</v>
      </c>
      <c r="AL44" s="1121">
        <f t="shared" si="17"/>
        <v>-6.2115438256246235E-2</v>
      </c>
      <c r="AM44" s="1122">
        <f t="shared" si="18"/>
        <v>1178523700</v>
      </c>
      <c r="AN44" s="1123">
        <f t="shared" si="6"/>
        <v>0.03</v>
      </c>
      <c r="AO44" s="1123">
        <f t="shared" si="7"/>
        <v>0</v>
      </c>
      <c r="AP44" s="1066">
        <v>829551</v>
      </c>
      <c r="AQ44" s="1066">
        <f t="shared" si="8"/>
        <v>56194552</v>
      </c>
      <c r="AR44" s="1066">
        <f>ROUND(AQ44/'Table 3 Levels 1&amp;2'!C44,2)</f>
        <v>2949.38</v>
      </c>
    </row>
    <row r="45" spans="1:44">
      <c r="A45" s="1062">
        <v>38</v>
      </c>
      <c r="B45" s="448" t="s">
        <v>214</v>
      </c>
      <c r="C45" s="390">
        <v>945163593</v>
      </c>
      <c r="D45" s="390">
        <v>29556404</v>
      </c>
      <c r="E45" s="390">
        <f t="shared" si="9"/>
        <v>915607189</v>
      </c>
      <c r="F45" s="390">
        <v>794700725</v>
      </c>
      <c r="G45" s="1141">
        <f t="shared" si="10"/>
        <v>0.15214087542200241</v>
      </c>
      <c r="H45" s="1142">
        <f t="shared" si="1"/>
        <v>874170797.50000012</v>
      </c>
      <c r="I45" s="1111">
        <v>6.03</v>
      </c>
      <c r="J45" s="1112">
        <v>4991433</v>
      </c>
      <c r="K45" s="1111">
        <v>18.38</v>
      </c>
      <c r="L45" s="1112">
        <v>15214482</v>
      </c>
      <c r="M45" s="1113">
        <v>0</v>
      </c>
      <c r="N45" s="1113">
        <v>0</v>
      </c>
      <c r="O45" s="1113">
        <v>0</v>
      </c>
      <c r="P45" s="1112">
        <v>0</v>
      </c>
      <c r="Q45" s="1066">
        <f t="shared" si="11"/>
        <v>20205915</v>
      </c>
      <c r="R45" s="1113">
        <v>0</v>
      </c>
      <c r="S45" s="1112">
        <v>0</v>
      </c>
      <c r="T45" s="1113">
        <v>0</v>
      </c>
      <c r="U45" s="1113">
        <v>0</v>
      </c>
      <c r="V45" s="1113">
        <v>0</v>
      </c>
      <c r="W45" s="1112">
        <v>0</v>
      </c>
      <c r="X45" s="390">
        <f t="shared" si="12"/>
        <v>0</v>
      </c>
      <c r="Y45" s="1115">
        <f t="shared" si="13"/>
        <v>24.41</v>
      </c>
      <c r="Z45" s="390">
        <f t="shared" si="13"/>
        <v>20205915</v>
      </c>
      <c r="AA45" s="390">
        <f t="shared" si="14"/>
        <v>0</v>
      </c>
      <c r="AB45" s="1116">
        <f t="shared" si="2"/>
        <v>0</v>
      </c>
      <c r="AC45" s="1117">
        <f t="shared" si="3"/>
        <v>22.07</v>
      </c>
      <c r="AD45" s="1118">
        <f t="shared" si="4"/>
        <v>22.07</v>
      </c>
      <c r="AE45" s="1066">
        <f t="shared" si="15"/>
        <v>20205915</v>
      </c>
      <c r="AF45" s="1119">
        <v>0.02</v>
      </c>
      <c r="AG45" s="1067">
        <v>13348318</v>
      </c>
      <c r="AH45" s="1067">
        <v>2912445</v>
      </c>
      <c r="AI45" s="1120">
        <f t="shared" si="16"/>
        <v>16260763</v>
      </c>
      <c r="AJ45" s="1066">
        <v>814592250</v>
      </c>
      <c r="AK45" s="1066">
        <f t="shared" si="19"/>
        <v>813038150</v>
      </c>
      <c r="AL45" s="1121">
        <f t="shared" si="17"/>
        <v>-1.9078256636986173E-3</v>
      </c>
      <c r="AM45" s="1122">
        <f t="shared" si="18"/>
        <v>813038150</v>
      </c>
      <c r="AN45" s="1123">
        <f t="shared" si="6"/>
        <v>1.6417824920023742E-2</v>
      </c>
      <c r="AO45" s="1123">
        <f t="shared" si="7"/>
        <v>3.5821750799762595E-3</v>
      </c>
      <c r="AP45" s="1066">
        <v>118653</v>
      </c>
      <c r="AQ45" s="1066">
        <f t="shared" si="8"/>
        <v>36585331</v>
      </c>
      <c r="AR45" s="1066">
        <f>ROUND(AQ45/'Table 3 Levels 1&amp;2'!C45,2)</f>
        <v>9813.66</v>
      </c>
    </row>
    <row r="46" spans="1:44">
      <c r="A46" s="1062">
        <v>39</v>
      </c>
      <c r="B46" s="448" t="s">
        <v>76</v>
      </c>
      <c r="C46" s="390">
        <v>356351192</v>
      </c>
      <c r="D46" s="390">
        <v>38354331</v>
      </c>
      <c r="E46" s="390">
        <f t="shared" si="9"/>
        <v>317996861</v>
      </c>
      <c r="F46" s="390">
        <v>315719457</v>
      </c>
      <c r="G46" s="1109">
        <f t="shared" si="10"/>
        <v>7.2133786800475845E-3</v>
      </c>
      <c r="H46" s="1110">
        <f t="shared" si="1"/>
        <v>317996861</v>
      </c>
      <c r="I46" s="1111">
        <v>4.54</v>
      </c>
      <c r="J46" s="1112">
        <v>1460073</v>
      </c>
      <c r="K46" s="1111">
        <v>11.96</v>
      </c>
      <c r="L46" s="1112">
        <v>3837745</v>
      </c>
      <c r="M46" s="1113">
        <v>0</v>
      </c>
      <c r="N46" s="1113">
        <v>0</v>
      </c>
      <c r="O46" s="1113">
        <v>0</v>
      </c>
      <c r="P46" s="1112">
        <v>0</v>
      </c>
      <c r="Q46" s="1066">
        <f t="shared" si="11"/>
        <v>5297818</v>
      </c>
      <c r="R46" s="1113">
        <v>0</v>
      </c>
      <c r="S46" s="1112">
        <v>0</v>
      </c>
      <c r="T46" s="1113">
        <v>0</v>
      </c>
      <c r="U46" s="1113">
        <v>10</v>
      </c>
      <c r="V46" s="1113">
        <v>2</v>
      </c>
      <c r="W46" s="1112">
        <v>342181</v>
      </c>
      <c r="X46" s="390">
        <f t="shared" si="12"/>
        <v>342181</v>
      </c>
      <c r="Y46" s="1115">
        <f t="shared" si="13"/>
        <v>16.5</v>
      </c>
      <c r="Z46" s="390">
        <f t="shared" si="13"/>
        <v>5297818</v>
      </c>
      <c r="AA46" s="390">
        <f t="shared" si="14"/>
        <v>342181</v>
      </c>
      <c r="AB46" s="1116">
        <f t="shared" si="2"/>
        <v>1.08</v>
      </c>
      <c r="AC46" s="1117">
        <f t="shared" si="3"/>
        <v>16.66</v>
      </c>
      <c r="AD46" s="1118">
        <f t="shared" si="4"/>
        <v>17.739999999999998</v>
      </c>
      <c r="AE46" s="1066">
        <f t="shared" si="15"/>
        <v>5639999</v>
      </c>
      <c r="AF46" s="1119">
        <v>0.02</v>
      </c>
      <c r="AG46" s="1067">
        <v>6289604</v>
      </c>
      <c r="AH46" s="1067">
        <v>0</v>
      </c>
      <c r="AI46" s="1120">
        <f t="shared" si="16"/>
        <v>6289604</v>
      </c>
      <c r="AJ46" s="1066">
        <v>346857200</v>
      </c>
      <c r="AK46" s="1066">
        <f t="shared" si="19"/>
        <v>314480200</v>
      </c>
      <c r="AL46" s="1121">
        <f t="shared" si="17"/>
        <v>-9.3343889070199498E-2</v>
      </c>
      <c r="AM46" s="1122">
        <f t="shared" si="18"/>
        <v>314480200</v>
      </c>
      <c r="AN46" s="1123">
        <f t="shared" si="6"/>
        <v>0.02</v>
      </c>
      <c r="AO46" s="1123">
        <f t="shared" si="7"/>
        <v>0</v>
      </c>
      <c r="AP46" s="1066">
        <v>163304</v>
      </c>
      <c r="AQ46" s="1066">
        <f t="shared" si="8"/>
        <v>12092907</v>
      </c>
      <c r="AR46" s="1066">
        <f>ROUND(AQ46/'Table 3 Levels 1&amp;2'!C46,2)</f>
        <v>4292.83</v>
      </c>
    </row>
    <row r="47" spans="1:44">
      <c r="A47" s="1064">
        <v>40</v>
      </c>
      <c r="B47" s="1124" t="s">
        <v>215</v>
      </c>
      <c r="C47" s="409">
        <v>784790940</v>
      </c>
      <c r="D47" s="409">
        <v>172984319</v>
      </c>
      <c r="E47" s="409">
        <f t="shared" si="9"/>
        <v>611806621</v>
      </c>
      <c r="F47" s="409">
        <v>592143679</v>
      </c>
      <c r="G47" s="1125">
        <f t="shared" si="10"/>
        <v>3.3206369834440128E-2</v>
      </c>
      <c r="H47" s="1126">
        <f t="shared" si="1"/>
        <v>611806621</v>
      </c>
      <c r="I47" s="1127">
        <v>4.79</v>
      </c>
      <c r="J47" s="1128">
        <v>3682542</v>
      </c>
      <c r="K47" s="1127">
        <v>21.03</v>
      </c>
      <c r="L47" s="1128">
        <v>12003312</v>
      </c>
      <c r="M47" s="1129">
        <v>4.78</v>
      </c>
      <c r="N47" s="1129">
        <v>24.15</v>
      </c>
      <c r="O47" s="1129">
        <v>13</v>
      </c>
      <c r="P47" s="1128">
        <v>6444137</v>
      </c>
      <c r="Q47" s="1069">
        <f t="shared" si="11"/>
        <v>22129991</v>
      </c>
      <c r="R47" s="1129">
        <v>0</v>
      </c>
      <c r="S47" s="1128">
        <v>0</v>
      </c>
      <c r="T47" s="1129">
        <v>6</v>
      </c>
      <c r="U47" s="1129">
        <v>54</v>
      </c>
      <c r="V47" s="1129">
        <v>13</v>
      </c>
      <c r="W47" s="1128">
        <v>8243294</v>
      </c>
      <c r="X47" s="409">
        <f t="shared" si="12"/>
        <v>8243294</v>
      </c>
      <c r="Y47" s="1130">
        <f t="shared" si="13"/>
        <v>25.82</v>
      </c>
      <c r="Z47" s="409">
        <f t="shared" si="13"/>
        <v>15685854</v>
      </c>
      <c r="AA47" s="409">
        <f t="shared" si="14"/>
        <v>14687431</v>
      </c>
      <c r="AB47" s="1131">
        <f t="shared" si="2"/>
        <v>13.47</v>
      </c>
      <c r="AC47" s="1132">
        <f t="shared" si="3"/>
        <v>36.17</v>
      </c>
      <c r="AD47" s="1133">
        <f t="shared" si="4"/>
        <v>49.65</v>
      </c>
      <c r="AE47" s="1069">
        <f t="shared" si="15"/>
        <v>30373285</v>
      </c>
      <c r="AF47" s="1134">
        <v>1.4999999999999999E-2</v>
      </c>
      <c r="AG47" s="1070">
        <v>33171801</v>
      </c>
      <c r="AH47" s="1070">
        <v>0</v>
      </c>
      <c r="AI47" s="1135">
        <f t="shared" si="16"/>
        <v>33171801</v>
      </c>
      <c r="AJ47" s="1069">
        <v>2435733733</v>
      </c>
      <c r="AK47" s="1069">
        <f t="shared" si="19"/>
        <v>2211453400</v>
      </c>
      <c r="AL47" s="1136">
        <f t="shared" si="17"/>
        <v>-9.2079166930846126E-2</v>
      </c>
      <c r="AM47" s="1137">
        <f t="shared" si="18"/>
        <v>2211453400</v>
      </c>
      <c r="AN47" s="1138">
        <f t="shared" si="6"/>
        <v>1.4999999999999999E-2</v>
      </c>
      <c r="AO47" s="1138">
        <f t="shared" si="7"/>
        <v>0</v>
      </c>
      <c r="AP47" s="1069">
        <v>1190941</v>
      </c>
      <c r="AQ47" s="1069">
        <f t="shared" si="8"/>
        <v>64736027</v>
      </c>
      <c r="AR47" s="1069">
        <f>ROUND(AQ47/'Table 3 Levels 1&amp;2'!C47,2)</f>
        <v>2844.04</v>
      </c>
    </row>
    <row r="48" spans="1:44">
      <c r="A48" s="1062">
        <v>41</v>
      </c>
      <c r="B48" s="448" t="s">
        <v>216</v>
      </c>
      <c r="C48" s="390">
        <v>78329930</v>
      </c>
      <c r="D48" s="390">
        <v>10193080</v>
      </c>
      <c r="E48" s="390">
        <f t="shared" si="9"/>
        <v>68136850</v>
      </c>
      <c r="F48" s="390">
        <v>41295870</v>
      </c>
      <c r="G48" s="1141">
        <f t="shared" si="10"/>
        <v>0.6499676602042771</v>
      </c>
      <c r="H48" s="1142">
        <f t="shared" si="1"/>
        <v>45425457</v>
      </c>
      <c r="I48" s="1111">
        <v>4.63</v>
      </c>
      <c r="J48" s="1112">
        <v>315474</v>
      </c>
      <c r="K48" s="1111">
        <v>37.130000000000003</v>
      </c>
      <c r="L48" s="1112">
        <v>2529921</v>
      </c>
      <c r="M48" s="1113">
        <v>0</v>
      </c>
      <c r="N48" s="1113">
        <v>0</v>
      </c>
      <c r="O48" s="1113">
        <v>0</v>
      </c>
      <c r="P48" s="1112">
        <v>0</v>
      </c>
      <c r="Q48" s="1066">
        <f t="shared" si="11"/>
        <v>2845395</v>
      </c>
      <c r="R48" s="1113">
        <v>25</v>
      </c>
      <c r="S48" s="1112">
        <v>1703887</v>
      </c>
      <c r="T48" s="1113">
        <v>0</v>
      </c>
      <c r="U48" s="1113">
        <v>0</v>
      </c>
      <c r="V48" s="1113">
        <v>0</v>
      </c>
      <c r="W48" s="1112">
        <v>0</v>
      </c>
      <c r="X48" s="390">
        <f t="shared" si="12"/>
        <v>1703887</v>
      </c>
      <c r="Y48" s="1115">
        <f t="shared" si="13"/>
        <v>66.760000000000005</v>
      </c>
      <c r="Z48" s="390">
        <f t="shared" si="13"/>
        <v>4549282</v>
      </c>
      <c r="AA48" s="390">
        <f t="shared" si="14"/>
        <v>0</v>
      </c>
      <c r="AB48" s="1116">
        <f t="shared" si="2"/>
        <v>25.01</v>
      </c>
      <c r="AC48" s="1117">
        <f t="shared" si="3"/>
        <v>41.76</v>
      </c>
      <c r="AD48" s="1118">
        <f t="shared" si="4"/>
        <v>66.77</v>
      </c>
      <c r="AE48" s="1066">
        <f t="shared" si="15"/>
        <v>4549282</v>
      </c>
      <c r="AF48" s="1119">
        <v>0.02</v>
      </c>
      <c r="AG48" s="1067">
        <v>16550600</v>
      </c>
      <c r="AH48" s="1067">
        <v>0</v>
      </c>
      <c r="AI48" s="1120">
        <f t="shared" si="16"/>
        <v>16550600</v>
      </c>
      <c r="AJ48" s="1066">
        <v>426600400</v>
      </c>
      <c r="AK48" s="1066">
        <f t="shared" si="19"/>
        <v>827530000</v>
      </c>
      <c r="AL48" s="1139">
        <f t="shared" si="17"/>
        <v>0.93982471652628552</v>
      </c>
      <c r="AM48" s="1140">
        <f t="shared" si="18"/>
        <v>490590459.99999994</v>
      </c>
      <c r="AN48" s="1123">
        <f t="shared" si="6"/>
        <v>0.02</v>
      </c>
      <c r="AO48" s="1123">
        <f t="shared" si="7"/>
        <v>0</v>
      </c>
      <c r="AP48" s="1066">
        <v>364241</v>
      </c>
      <c r="AQ48" s="1066">
        <f t="shared" si="8"/>
        <v>21464123</v>
      </c>
      <c r="AR48" s="1066">
        <f>ROUND(AQ48/'Table 3 Levels 1&amp;2'!C48,2)</f>
        <v>14968.01</v>
      </c>
    </row>
    <row r="49" spans="1:44">
      <c r="A49" s="1062">
        <v>42</v>
      </c>
      <c r="B49" s="448" t="s">
        <v>217</v>
      </c>
      <c r="C49" s="390">
        <v>155849160</v>
      </c>
      <c r="D49" s="390">
        <v>27345873</v>
      </c>
      <c r="E49" s="390">
        <f t="shared" si="9"/>
        <v>128503287</v>
      </c>
      <c r="F49" s="390">
        <v>97186160</v>
      </c>
      <c r="G49" s="1141">
        <f t="shared" si="10"/>
        <v>0.32223854713469491</v>
      </c>
      <c r="H49" s="1142">
        <f t="shared" si="1"/>
        <v>106904776.00000001</v>
      </c>
      <c r="I49" s="1111">
        <v>7.98</v>
      </c>
      <c r="J49" s="1112">
        <v>1144274</v>
      </c>
      <c r="K49" s="1111">
        <v>7.88</v>
      </c>
      <c r="L49" s="1112">
        <v>971328</v>
      </c>
      <c r="M49" s="1113">
        <v>0</v>
      </c>
      <c r="N49" s="1113">
        <v>0</v>
      </c>
      <c r="O49" s="1113">
        <v>4</v>
      </c>
      <c r="P49" s="1112">
        <v>0</v>
      </c>
      <c r="Q49" s="1066">
        <f t="shared" si="11"/>
        <v>2115602</v>
      </c>
      <c r="R49" s="1113">
        <v>0</v>
      </c>
      <c r="S49" s="1112">
        <v>0</v>
      </c>
      <c r="T49" s="1113">
        <v>10</v>
      </c>
      <c r="U49" s="1113">
        <v>20</v>
      </c>
      <c r="V49" s="1113">
        <v>4</v>
      </c>
      <c r="W49" s="1112">
        <v>2304853</v>
      </c>
      <c r="X49" s="390">
        <f t="shared" si="12"/>
        <v>2304853</v>
      </c>
      <c r="Y49" s="1115">
        <f t="shared" si="13"/>
        <v>15.86</v>
      </c>
      <c r="Z49" s="390">
        <f t="shared" si="13"/>
        <v>2115602</v>
      </c>
      <c r="AA49" s="390">
        <f t="shared" si="14"/>
        <v>2304853</v>
      </c>
      <c r="AB49" s="1116">
        <f t="shared" si="2"/>
        <v>17.940000000000001</v>
      </c>
      <c r="AC49" s="1117">
        <f t="shared" si="3"/>
        <v>16.46</v>
      </c>
      <c r="AD49" s="1118">
        <f t="shared" si="4"/>
        <v>34.4</v>
      </c>
      <c r="AE49" s="1066">
        <f t="shared" si="15"/>
        <v>4420455</v>
      </c>
      <c r="AF49" s="1119">
        <v>0.02</v>
      </c>
      <c r="AG49" s="1067">
        <v>7608872</v>
      </c>
      <c r="AH49" s="1067">
        <v>0</v>
      </c>
      <c r="AI49" s="1120">
        <f t="shared" si="16"/>
        <v>7608872</v>
      </c>
      <c r="AJ49" s="1066">
        <v>287116450</v>
      </c>
      <c r="AK49" s="1066">
        <f t="shared" si="19"/>
        <v>380443600</v>
      </c>
      <c r="AL49" s="1139">
        <f t="shared" si="17"/>
        <v>0.32504981863630594</v>
      </c>
      <c r="AM49" s="1140">
        <f t="shared" si="18"/>
        <v>330183917.5</v>
      </c>
      <c r="AN49" s="1123">
        <f t="shared" si="6"/>
        <v>0.02</v>
      </c>
      <c r="AO49" s="1123">
        <f t="shared" si="7"/>
        <v>0</v>
      </c>
      <c r="AP49" s="1066">
        <v>225489.5</v>
      </c>
      <c r="AQ49" s="1066">
        <f t="shared" si="8"/>
        <v>12254816.5</v>
      </c>
      <c r="AR49" s="1066">
        <f>ROUND(AQ49/'Table 3 Levels 1&amp;2'!C49,2)</f>
        <v>3715.83</v>
      </c>
    </row>
    <row r="50" spans="1:44">
      <c r="A50" s="1062">
        <v>43</v>
      </c>
      <c r="B50" s="448" t="s">
        <v>218</v>
      </c>
      <c r="C50" s="390">
        <v>125394085</v>
      </c>
      <c r="D50" s="390">
        <v>31740368</v>
      </c>
      <c r="E50" s="390">
        <f t="shared" si="9"/>
        <v>93653717</v>
      </c>
      <c r="F50" s="390">
        <v>93591473</v>
      </c>
      <c r="G50" s="1109">
        <f t="shared" si="10"/>
        <v>6.6506058730371725E-4</v>
      </c>
      <c r="H50" s="1110">
        <f t="shared" si="1"/>
        <v>93653717</v>
      </c>
      <c r="I50" s="1111">
        <v>4.8</v>
      </c>
      <c r="J50" s="1112">
        <v>447393</v>
      </c>
      <c r="K50" s="1111">
        <v>8.1</v>
      </c>
      <c r="L50" s="1112">
        <v>754977</v>
      </c>
      <c r="M50" s="1113">
        <v>6.63</v>
      </c>
      <c r="N50" s="1113">
        <v>11.24</v>
      </c>
      <c r="O50" s="1113">
        <v>7</v>
      </c>
      <c r="P50" s="1112">
        <v>758494</v>
      </c>
      <c r="Q50" s="1066">
        <f t="shared" si="11"/>
        <v>1960864</v>
      </c>
      <c r="R50" s="1113">
        <v>0</v>
      </c>
      <c r="S50" s="1112">
        <v>0</v>
      </c>
      <c r="T50" s="1113">
        <v>12.5</v>
      </c>
      <c r="U50" s="1113">
        <v>35.4</v>
      </c>
      <c r="V50" s="1113">
        <v>7</v>
      </c>
      <c r="W50" s="1112">
        <v>1822845</v>
      </c>
      <c r="X50" s="390">
        <f t="shared" si="12"/>
        <v>1822845</v>
      </c>
      <c r="Y50" s="1115">
        <f t="shared" si="13"/>
        <v>12.899999999999999</v>
      </c>
      <c r="Z50" s="390">
        <f t="shared" si="13"/>
        <v>1202370</v>
      </c>
      <c r="AA50" s="390">
        <f t="shared" si="14"/>
        <v>2581339</v>
      </c>
      <c r="AB50" s="1116">
        <f t="shared" si="2"/>
        <v>19.46</v>
      </c>
      <c r="AC50" s="1117">
        <f t="shared" si="3"/>
        <v>20.94</v>
      </c>
      <c r="AD50" s="1118">
        <f t="shared" si="4"/>
        <v>40.4</v>
      </c>
      <c r="AE50" s="1066">
        <f t="shared" si="15"/>
        <v>3783709</v>
      </c>
      <c r="AF50" s="1119">
        <v>2.5000000000000001E-2</v>
      </c>
      <c r="AG50" s="1067">
        <v>8701196</v>
      </c>
      <c r="AH50" s="1067">
        <v>691722</v>
      </c>
      <c r="AI50" s="1120">
        <f t="shared" si="16"/>
        <v>9392918</v>
      </c>
      <c r="AJ50" s="1066">
        <v>271821320</v>
      </c>
      <c r="AK50" s="1066">
        <f t="shared" si="19"/>
        <v>375716720</v>
      </c>
      <c r="AL50" s="1139">
        <f t="shared" si="17"/>
        <v>0.38221946681739311</v>
      </c>
      <c r="AM50" s="1140">
        <f t="shared" si="18"/>
        <v>312594518</v>
      </c>
      <c r="AN50" s="1123">
        <f t="shared" si="6"/>
        <v>2.3158926757371884E-2</v>
      </c>
      <c r="AO50" s="1123">
        <f t="shared" si="7"/>
        <v>1.8410732426281163E-3</v>
      </c>
      <c r="AP50" s="1066">
        <v>164136</v>
      </c>
      <c r="AQ50" s="1066">
        <f t="shared" si="8"/>
        <v>13340763</v>
      </c>
      <c r="AR50" s="1066">
        <f>ROUND(AQ50/'Table 3 Levels 1&amp;2'!C50,2)</f>
        <v>3351.11</v>
      </c>
    </row>
    <row r="51" spans="1:44">
      <c r="A51" s="1062">
        <v>44</v>
      </c>
      <c r="B51" s="448" t="s">
        <v>219</v>
      </c>
      <c r="C51" s="390">
        <v>339565253</v>
      </c>
      <c r="D51" s="390">
        <v>51782932</v>
      </c>
      <c r="E51" s="390">
        <f t="shared" si="9"/>
        <v>287782321</v>
      </c>
      <c r="F51" s="390">
        <v>279432335</v>
      </c>
      <c r="G51" s="1109">
        <f t="shared" si="10"/>
        <v>2.9881960511119802E-2</v>
      </c>
      <c r="H51" s="1110">
        <f t="shared" si="1"/>
        <v>287782321</v>
      </c>
      <c r="I51" s="1111">
        <v>3.59</v>
      </c>
      <c r="J51" s="1112">
        <v>997025</v>
      </c>
      <c r="K51" s="1111">
        <v>31.25</v>
      </c>
      <c r="L51" s="1112">
        <v>8678838</v>
      </c>
      <c r="M51" s="1113">
        <v>0</v>
      </c>
      <c r="N51" s="1113">
        <v>0</v>
      </c>
      <c r="O51" s="1113">
        <v>0</v>
      </c>
      <c r="P51" s="1112">
        <v>0</v>
      </c>
      <c r="Q51" s="1066">
        <f t="shared" si="11"/>
        <v>9675863</v>
      </c>
      <c r="R51" s="1113">
        <v>11</v>
      </c>
      <c r="S51" s="1112">
        <v>3054988</v>
      </c>
      <c r="T51" s="1113">
        <v>0</v>
      </c>
      <c r="U51" s="1113">
        <v>0</v>
      </c>
      <c r="V51" s="1113">
        <v>0</v>
      </c>
      <c r="W51" s="1112">
        <v>0</v>
      </c>
      <c r="X51" s="390">
        <f t="shared" si="12"/>
        <v>3054988</v>
      </c>
      <c r="Y51" s="1115">
        <f t="shared" si="13"/>
        <v>45.84</v>
      </c>
      <c r="Z51" s="390">
        <f t="shared" si="13"/>
        <v>12730851</v>
      </c>
      <c r="AA51" s="390">
        <f t="shared" si="14"/>
        <v>0</v>
      </c>
      <c r="AB51" s="1116">
        <f t="shared" si="2"/>
        <v>10.62</v>
      </c>
      <c r="AC51" s="1117">
        <f t="shared" si="3"/>
        <v>33.619999999999997</v>
      </c>
      <c r="AD51" s="1118">
        <f t="shared" si="4"/>
        <v>44.24</v>
      </c>
      <c r="AE51" s="1066">
        <f t="shared" si="15"/>
        <v>12730851</v>
      </c>
      <c r="AF51" s="1119">
        <v>0.02</v>
      </c>
      <c r="AG51" s="1067">
        <v>14166185</v>
      </c>
      <c r="AH51" s="1067">
        <v>416646</v>
      </c>
      <c r="AI51" s="1120">
        <f t="shared" si="16"/>
        <v>14582831</v>
      </c>
      <c r="AJ51" s="1066">
        <v>563006300</v>
      </c>
      <c r="AK51" s="1066">
        <f t="shared" si="19"/>
        <v>729141550</v>
      </c>
      <c r="AL51" s="1139">
        <f t="shared" si="17"/>
        <v>0.29508595196892112</v>
      </c>
      <c r="AM51" s="1140">
        <f t="shared" si="18"/>
        <v>647457245</v>
      </c>
      <c r="AN51" s="1123">
        <f t="shared" si="6"/>
        <v>1.9428580088461562E-2</v>
      </c>
      <c r="AO51" s="1123">
        <f t="shared" si="7"/>
        <v>5.7141991153843857E-4</v>
      </c>
      <c r="AP51" s="1066">
        <v>17771</v>
      </c>
      <c r="AQ51" s="1066">
        <f t="shared" si="8"/>
        <v>27331453</v>
      </c>
      <c r="AR51" s="1066">
        <f>ROUND(AQ51/'Table 3 Levels 1&amp;2'!C51,2)</f>
        <v>5025.09</v>
      </c>
    </row>
    <row r="52" spans="1:44">
      <c r="A52" s="1064">
        <v>45</v>
      </c>
      <c r="B52" s="1124" t="s">
        <v>220</v>
      </c>
      <c r="C52" s="409">
        <v>1151334410</v>
      </c>
      <c r="D52" s="409">
        <v>98326155</v>
      </c>
      <c r="E52" s="409">
        <f t="shared" si="9"/>
        <v>1053008255</v>
      </c>
      <c r="F52" s="409">
        <v>999792386</v>
      </c>
      <c r="G52" s="1125">
        <f t="shared" si="10"/>
        <v>5.3226919653696983E-2</v>
      </c>
      <c r="H52" s="1126">
        <f t="shared" si="1"/>
        <v>1053008255</v>
      </c>
      <c r="I52" s="1127">
        <v>4.0999999999999996</v>
      </c>
      <c r="J52" s="1128">
        <v>4372729</v>
      </c>
      <c r="K52" s="1127">
        <v>46.41</v>
      </c>
      <c r="L52" s="1128">
        <v>47918694</v>
      </c>
      <c r="M52" s="1129">
        <v>0</v>
      </c>
      <c r="N52" s="1129">
        <v>0</v>
      </c>
      <c r="O52" s="1129">
        <v>0</v>
      </c>
      <c r="P52" s="1128">
        <v>0</v>
      </c>
      <c r="Q52" s="1069">
        <f t="shared" si="11"/>
        <v>52291423</v>
      </c>
      <c r="R52" s="1129">
        <v>5.86</v>
      </c>
      <c r="S52" s="1128">
        <v>6210420</v>
      </c>
      <c r="T52" s="1129">
        <v>0</v>
      </c>
      <c r="U52" s="1129">
        <v>0</v>
      </c>
      <c r="V52" s="1129">
        <v>0</v>
      </c>
      <c r="W52" s="1128">
        <v>0</v>
      </c>
      <c r="X52" s="409">
        <f t="shared" si="12"/>
        <v>6210420</v>
      </c>
      <c r="Y52" s="1130">
        <f t="shared" si="13"/>
        <v>56.37</v>
      </c>
      <c r="Z52" s="409">
        <f t="shared" si="13"/>
        <v>58501843</v>
      </c>
      <c r="AA52" s="409">
        <f t="shared" si="14"/>
        <v>0</v>
      </c>
      <c r="AB52" s="1131">
        <f t="shared" si="2"/>
        <v>5.9</v>
      </c>
      <c r="AC52" s="1132">
        <f t="shared" si="3"/>
        <v>49.66</v>
      </c>
      <c r="AD52" s="1133">
        <f t="shared" si="4"/>
        <v>55.56</v>
      </c>
      <c r="AE52" s="1069">
        <f t="shared" si="15"/>
        <v>58501843</v>
      </c>
      <c r="AF52" s="1134">
        <v>0.03</v>
      </c>
      <c r="AG52" s="1070">
        <v>42088804</v>
      </c>
      <c r="AH52" s="1070">
        <v>1036735</v>
      </c>
      <c r="AI52" s="1135">
        <f t="shared" si="16"/>
        <v>43125539</v>
      </c>
      <c r="AJ52" s="1069">
        <v>1684390000</v>
      </c>
      <c r="AK52" s="1069">
        <f t="shared" si="19"/>
        <v>1437517967</v>
      </c>
      <c r="AL52" s="1136">
        <f t="shared" si="17"/>
        <v>-0.14656465129809604</v>
      </c>
      <c r="AM52" s="1137">
        <f t="shared" si="18"/>
        <v>1437517967</v>
      </c>
      <c r="AN52" s="1138">
        <f t="shared" si="6"/>
        <v>2.9278802050618127E-2</v>
      </c>
      <c r="AO52" s="1138">
        <f t="shared" si="7"/>
        <v>7.2119794242543893E-4</v>
      </c>
      <c r="AP52" s="1069">
        <v>281865</v>
      </c>
      <c r="AQ52" s="1069">
        <f t="shared" si="8"/>
        <v>101909247</v>
      </c>
      <c r="AR52" s="1069">
        <f>ROUND(AQ52/'Table 3 Levels 1&amp;2'!C52,2)</f>
        <v>10806.92</v>
      </c>
    </row>
    <row r="53" spans="1:44" s="616" customFormat="1">
      <c r="A53" s="379">
        <v>46</v>
      </c>
      <c r="B53" s="1144" t="s">
        <v>78</v>
      </c>
      <c r="C53" s="1066">
        <v>57324970</v>
      </c>
      <c r="D53" s="1066">
        <v>16631500</v>
      </c>
      <c r="E53" s="1066">
        <f t="shared" si="9"/>
        <v>40693470</v>
      </c>
      <c r="F53" s="1066">
        <v>42220780</v>
      </c>
      <c r="G53" s="1109">
        <f t="shared" si="10"/>
        <v>-3.617436721917501E-2</v>
      </c>
      <c r="H53" s="1110">
        <f t="shared" si="1"/>
        <v>40693470</v>
      </c>
      <c r="I53" s="1154">
        <v>3.38</v>
      </c>
      <c r="J53" s="1155">
        <v>134179</v>
      </c>
      <c r="K53" s="1154">
        <v>14.48</v>
      </c>
      <c r="L53" s="1155">
        <v>574788</v>
      </c>
      <c r="M53" s="1156">
        <v>0</v>
      </c>
      <c r="N53" s="1156">
        <v>0</v>
      </c>
      <c r="O53" s="1156">
        <v>6</v>
      </c>
      <c r="P53" s="1155">
        <v>0</v>
      </c>
      <c r="Q53" s="1066">
        <f t="shared" si="11"/>
        <v>708967</v>
      </c>
      <c r="R53" s="1156">
        <v>0</v>
      </c>
      <c r="S53" s="1155">
        <v>0</v>
      </c>
      <c r="T53" s="1156">
        <v>0</v>
      </c>
      <c r="U53" s="1156">
        <v>0</v>
      </c>
      <c r="V53" s="1156">
        <v>6</v>
      </c>
      <c r="W53" s="1155">
        <v>0</v>
      </c>
      <c r="X53" s="1066">
        <f t="shared" si="12"/>
        <v>0</v>
      </c>
      <c r="Y53" s="1145">
        <f t="shared" si="13"/>
        <v>17.86</v>
      </c>
      <c r="Z53" s="1066">
        <f t="shared" si="13"/>
        <v>708967</v>
      </c>
      <c r="AA53" s="1066">
        <f t="shared" si="14"/>
        <v>0</v>
      </c>
      <c r="AB53" s="1146">
        <f t="shared" si="2"/>
        <v>0</v>
      </c>
      <c r="AC53" s="1147">
        <f t="shared" si="3"/>
        <v>17.420000000000002</v>
      </c>
      <c r="AD53" s="1118">
        <f t="shared" si="4"/>
        <v>17.420000000000002</v>
      </c>
      <c r="AE53" s="1066">
        <f t="shared" si="15"/>
        <v>708967</v>
      </c>
      <c r="AF53" s="1119">
        <v>0.02</v>
      </c>
      <c r="AG53" s="1067">
        <v>1068114</v>
      </c>
      <c r="AH53" s="1067">
        <v>0</v>
      </c>
      <c r="AI53" s="1120">
        <f t="shared" si="16"/>
        <v>1068114</v>
      </c>
      <c r="AJ53" s="1066">
        <v>68408600</v>
      </c>
      <c r="AK53" s="1066">
        <f t="shared" si="19"/>
        <v>53405700</v>
      </c>
      <c r="AL53" s="1121">
        <f t="shared" si="17"/>
        <v>-0.21931306882467994</v>
      </c>
      <c r="AM53" s="1122">
        <f t="shared" si="18"/>
        <v>53405700</v>
      </c>
      <c r="AN53" s="1123">
        <f t="shared" si="6"/>
        <v>0.02</v>
      </c>
      <c r="AO53" s="1123">
        <f t="shared" si="7"/>
        <v>0</v>
      </c>
      <c r="AP53" s="1066">
        <v>30712</v>
      </c>
      <c r="AQ53" s="1066">
        <f t="shared" si="8"/>
        <v>1807793</v>
      </c>
      <c r="AR53" s="1066">
        <f>ROUND(AQ53/'Table 3 Levels 1&amp;2'!C53,2)</f>
        <v>1638.98</v>
      </c>
    </row>
    <row r="54" spans="1:44">
      <c r="A54" s="1062">
        <v>47</v>
      </c>
      <c r="B54" s="448" t="s">
        <v>221</v>
      </c>
      <c r="C54" s="390">
        <v>423577955</v>
      </c>
      <c r="D54" s="390">
        <v>39030030</v>
      </c>
      <c r="E54" s="390">
        <f t="shared" si="9"/>
        <v>384547925</v>
      </c>
      <c r="F54" s="390">
        <v>360417621</v>
      </c>
      <c r="G54" s="1109">
        <f t="shared" si="10"/>
        <v>6.6950955208707738E-2</v>
      </c>
      <c r="H54" s="1110">
        <f t="shared" si="1"/>
        <v>384547925</v>
      </c>
      <c r="I54" s="1111">
        <v>3.89</v>
      </c>
      <c r="J54" s="1112">
        <v>1566058</v>
      </c>
      <c r="K54" s="1111">
        <v>30.07</v>
      </c>
      <c r="L54" s="1112">
        <v>12146734</v>
      </c>
      <c r="M54" s="1113">
        <v>0</v>
      </c>
      <c r="N54" s="1113">
        <v>0</v>
      </c>
      <c r="O54" s="1113">
        <v>0</v>
      </c>
      <c r="P54" s="1112">
        <v>0</v>
      </c>
      <c r="Q54" s="1066">
        <f t="shared" si="11"/>
        <v>13712792</v>
      </c>
      <c r="R54" s="1113">
        <v>10</v>
      </c>
      <c r="S54" s="1112">
        <v>3878920</v>
      </c>
      <c r="T54" s="1113">
        <v>0</v>
      </c>
      <c r="U54" s="1113">
        <v>0</v>
      </c>
      <c r="V54" s="1113">
        <v>0</v>
      </c>
      <c r="W54" s="1112">
        <v>0</v>
      </c>
      <c r="X54" s="390">
        <f t="shared" si="12"/>
        <v>3878920</v>
      </c>
      <c r="Y54" s="1115">
        <f t="shared" si="13"/>
        <v>43.96</v>
      </c>
      <c r="Z54" s="390">
        <f t="shared" si="13"/>
        <v>17591712</v>
      </c>
      <c r="AA54" s="390">
        <f t="shared" si="14"/>
        <v>0</v>
      </c>
      <c r="AB54" s="1116">
        <f t="shared" si="2"/>
        <v>10.09</v>
      </c>
      <c r="AC54" s="1117">
        <f t="shared" si="3"/>
        <v>35.659999999999997</v>
      </c>
      <c r="AD54" s="1118">
        <f t="shared" si="4"/>
        <v>45.75</v>
      </c>
      <c r="AE54" s="1066">
        <f t="shared" si="15"/>
        <v>17591712</v>
      </c>
      <c r="AF54" s="1119">
        <v>2.5000000000000001E-2</v>
      </c>
      <c r="AG54" s="1067">
        <v>12736822</v>
      </c>
      <c r="AH54" s="1067">
        <v>0</v>
      </c>
      <c r="AI54" s="1120">
        <f t="shared" si="16"/>
        <v>12736822</v>
      </c>
      <c r="AJ54" s="1066">
        <v>507565480</v>
      </c>
      <c r="AK54" s="1066">
        <f t="shared" si="19"/>
        <v>509472880</v>
      </c>
      <c r="AL54" s="1121">
        <f t="shared" si="17"/>
        <v>3.7579387786576819E-3</v>
      </c>
      <c r="AM54" s="1122">
        <f t="shared" si="18"/>
        <v>509472880</v>
      </c>
      <c r="AN54" s="1123">
        <f t="shared" si="6"/>
        <v>2.5000000000000001E-2</v>
      </c>
      <c r="AO54" s="1123">
        <f t="shared" si="7"/>
        <v>0</v>
      </c>
      <c r="AP54" s="1066">
        <v>88335</v>
      </c>
      <c r="AQ54" s="1066">
        <f t="shared" si="8"/>
        <v>30416869</v>
      </c>
      <c r="AR54" s="1066">
        <f>ROUND(AQ54/'Table 3 Levels 1&amp;2'!C54,2)</f>
        <v>8185.38</v>
      </c>
    </row>
    <row r="55" spans="1:44">
      <c r="A55" s="1062">
        <v>48</v>
      </c>
      <c r="B55" s="448" t="s">
        <v>222</v>
      </c>
      <c r="C55" s="390">
        <v>435245738</v>
      </c>
      <c r="D55" s="390">
        <v>83892520</v>
      </c>
      <c r="E55" s="390">
        <f t="shared" si="9"/>
        <v>351353218</v>
      </c>
      <c r="F55" s="390">
        <v>299212046</v>
      </c>
      <c r="G55" s="1141">
        <f t="shared" si="10"/>
        <v>0.17426160710120608</v>
      </c>
      <c r="H55" s="1142">
        <f t="shared" si="1"/>
        <v>329133250.60000002</v>
      </c>
      <c r="I55" s="1111">
        <v>3.67</v>
      </c>
      <c r="J55" s="1112">
        <v>1237911</v>
      </c>
      <c r="K55" s="1111">
        <v>25.82</v>
      </c>
      <c r="L55" s="1112">
        <v>8692106</v>
      </c>
      <c r="M55" s="1113">
        <v>0</v>
      </c>
      <c r="N55" s="1113">
        <v>0</v>
      </c>
      <c r="O55" s="1113">
        <v>0</v>
      </c>
      <c r="P55" s="1112">
        <v>0</v>
      </c>
      <c r="Q55" s="1066">
        <f t="shared" si="11"/>
        <v>9930017</v>
      </c>
      <c r="R55" s="1113">
        <v>10</v>
      </c>
      <c r="S55" s="1112">
        <v>3390230</v>
      </c>
      <c r="T55" s="1113">
        <v>0</v>
      </c>
      <c r="U55" s="1113">
        <v>0</v>
      </c>
      <c r="V55" s="1113">
        <v>0</v>
      </c>
      <c r="W55" s="1112">
        <v>0</v>
      </c>
      <c r="X55" s="390">
        <f t="shared" si="12"/>
        <v>3390230</v>
      </c>
      <c r="Y55" s="1115">
        <f t="shared" si="13"/>
        <v>39.49</v>
      </c>
      <c r="Z55" s="390">
        <f t="shared" si="13"/>
        <v>13320247</v>
      </c>
      <c r="AA55" s="390">
        <f t="shared" si="14"/>
        <v>0</v>
      </c>
      <c r="AB55" s="1116">
        <f t="shared" si="2"/>
        <v>9.65</v>
      </c>
      <c r="AC55" s="1117">
        <f t="shared" si="3"/>
        <v>28.26</v>
      </c>
      <c r="AD55" s="1118">
        <f t="shared" si="4"/>
        <v>37.909999999999997</v>
      </c>
      <c r="AE55" s="1066">
        <f t="shared" si="15"/>
        <v>13320247</v>
      </c>
      <c r="AF55" s="1119">
        <v>2.2499999999999999E-2</v>
      </c>
      <c r="AG55" s="1067">
        <v>26158528</v>
      </c>
      <c r="AH55" s="1067">
        <v>0</v>
      </c>
      <c r="AI55" s="1120">
        <f t="shared" si="16"/>
        <v>26158528</v>
      </c>
      <c r="AJ55" s="1066">
        <v>1568731733</v>
      </c>
      <c r="AK55" s="1066">
        <f t="shared" si="19"/>
        <v>1162601244</v>
      </c>
      <c r="AL55" s="1121">
        <f t="shared" si="17"/>
        <v>-0.25889097572044845</v>
      </c>
      <c r="AM55" s="1122">
        <f t="shared" si="18"/>
        <v>1162601244</v>
      </c>
      <c r="AN55" s="1123">
        <f t="shared" si="6"/>
        <v>2.25000000086014E-2</v>
      </c>
      <c r="AO55" s="1123">
        <f t="shared" si="7"/>
        <v>0</v>
      </c>
      <c r="AP55" s="1066">
        <v>209184.5</v>
      </c>
      <c r="AQ55" s="1066">
        <f t="shared" si="8"/>
        <v>39687959.5</v>
      </c>
      <c r="AR55" s="1066">
        <f>ROUND(AQ55/'Table 3 Levels 1&amp;2'!C55,2)</f>
        <v>6578.48</v>
      </c>
    </row>
    <row r="56" spans="1:44">
      <c r="A56" s="1062">
        <v>49</v>
      </c>
      <c r="B56" s="448" t="s">
        <v>223</v>
      </c>
      <c r="C56" s="390">
        <v>615647160</v>
      </c>
      <c r="D56" s="390">
        <v>120436462</v>
      </c>
      <c r="E56" s="390">
        <f t="shared" si="9"/>
        <v>495210698</v>
      </c>
      <c r="F56" s="390">
        <v>481055727</v>
      </c>
      <c r="G56" s="1109">
        <f t="shared" si="10"/>
        <v>2.9424805080846692E-2</v>
      </c>
      <c r="H56" s="1110">
        <f t="shared" si="1"/>
        <v>495210698</v>
      </c>
      <c r="I56" s="1111">
        <v>4.45</v>
      </c>
      <c r="J56" s="1112">
        <v>2081892</v>
      </c>
      <c r="K56" s="1111">
        <v>16.149999999999999</v>
      </c>
      <c r="L56" s="1112">
        <v>7916920</v>
      </c>
      <c r="M56" s="1113">
        <v>0</v>
      </c>
      <c r="N56" s="1113">
        <v>0</v>
      </c>
      <c r="O56" s="1113">
        <v>0</v>
      </c>
      <c r="P56" s="1112">
        <v>0</v>
      </c>
      <c r="Q56" s="1066">
        <f t="shared" si="11"/>
        <v>9998812</v>
      </c>
      <c r="R56" s="1113">
        <v>0</v>
      </c>
      <c r="S56" s="1112">
        <v>0</v>
      </c>
      <c r="T56" s="1113">
        <v>0</v>
      </c>
      <c r="U56" s="1113">
        <v>0</v>
      </c>
      <c r="V56" s="1113">
        <v>0</v>
      </c>
      <c r="W56" s="1112">
        <v>0</v>
      </c>
      <c r="X56" s="390">
        <f t="shared" si="12"/>
        <v>0</v>
      </c>
      <c r="Y56" s="1115">
        <f t="shared" si="13"/>
        <v>20.599999999999998</v>
      </c>
      <c r="Z56" s="390">
        <f t="shared" si="13"/>
        <v>9998812</v>
      </c>
      <c r="AA56" s="390">
        <f t="shared" si="14"/>
        <v>0</v>
      </c>
      <c r="AB56" s="1116">
        <f t="shared" si="2"/>
        <v>0</v>
      </c>
      <c r="AC56" s="1117">
        <f t="shared" si="3"/>
        <v>20.190000000000001</v>
      </c>
      <c r="AD56" s="1118">
        <f t="shared" si="4"/>
        <v>20.190000000000001</v>
      </c>
      <c r="AE56" s="1066">
        <f t="shared" si="15"/>
        <v>9998812</v>
      </c>
      <c r="AF56" s="1119">
        <v>0.02</v>
      </c>
      <c r="AG56" s="1067">
        <v>20390392</v>
      </c>
      <c r="AH56" s="1067">
        <v>0</v>
      </c>
      <c r="AI56" s="1120">
        <f t="shared" si="16"/>
        <v>20390392</v>
      </c>
      <c r="AJ56" s="1066">
        <v>1127444400</v>
      </c>
      <c r="AK56" s="1066">
        <f t="shared" si="19"/>
        <v>1019519600</v>
      </c>
      <c r="AL56" s="1121">
        <f t="shared" si="17"/>
        <v>-9.5725163919391495E-2</v>
      </c>
      <c r="AM56" s="1122">
        <f t="shared" si="18"/>
        <v>1019519600</v>
      </c>
      <c r="AN56" s="1123">
        <f t="shared" si="6"/>
        <v>0.02</v>
      </c>
      <c r="AO56" s="1123">
        <f t="shared" si="7"/>
        <v>0</v>
      </c>
      <c r="AP56" s="1066">
        <v>299915</v>
      </c>
      <c r="AQ56" s="1066">
        <f t="shared" si="8"/>
        <v>30689119</v>
      </c>
      <c r="AR56" s="1066">
        <f>ROUND(AQ56/'Table 3 Levels 1&amp;2'!C56,2)</f>
        <v>2199.7800000000002</v>
      </c>
    </row>
    <row r="57" spans="1:44">
      <c r="A57" s="1064">
        <v>50</v>
      </c>
      <c r="B57" s="1124" t="s">
        <v>224</v>
      </c>
      <c r="C57" s="409">
        <v>312418182</v>
      </c>
      <c r="D57" s="409">
        <v>81594895</v>
      </c>
      <c r="E57" s="409">
        <f t="shared" si="9"/>
        <v>230823287</v>
      </c>
      <c r="F57" s="409">
        <v>213313624</v>
      </c>
      <c r="G57" s="1125">
        <f t="shared" si="10"/>
        <v>8.2084128859955044E-2</v>
      </c>
      <c r="H57" s="1126">
        <f t="shared" si="1"/>
        <v>230823287</v>
      </c>
      <c r="I57" s="1127">
        <v>2.61</v>
      </c>
      <c r="J57" s="1128">
        <v>590438</v>
      </c>
      <c r="K57" s="1127">
        <v>9.9700000000000006</v>
      </c>
      <c r="L57" s="1128">
        <v>2255437</v>
      </c>
      <c r="M57" s="1129">
        <v>0</v>
      </c>
      <c r="N57" s="1129">
        <v>0</v>
      </c>
      <c r="O57" s="1129">
        <v>0</v>
      </c>
      <c r="P57" s="1128">
        <v>0</v>
      </c>
      <c r="Q57" s="1069">
        <f t="shared" si="11"/>
        <v>2845875</v>
      </c>
      <c r="R57" s="1129">
        <v>21.5</v>
      </c>
      <c r="S57" s="1128">
        <v>4870239</v>
      </c>
      <c r="T57" s="1129">
        <v>0</v>
      </c>
      <c r="U57" s="1129">
        <v>0</v>
      </c>
      <c r="V57" s="1129">
        <v>0</v>
      </c>
      <c r="W57" s="1128">
        <v>0</v>
      </c>
      <c r="X57" s="409">
        <f t="shared" si="12"/>
        <v>4870239</v>
      </c>
      <c r="Y57" s="1130">
        <f t="shared" si="13"/>
        <v>34.08</v>
      </c>
      <c r="Z57" s="409">
        <f t="shared" si="13"/>
        <v>7716114</v>
      </c>
      <c r="AA57" s="409">
        <f t="shared" si="14"/>
        <v>0</v>
      </c>
      <c r="AB57" s="1131">
        <f t="shared" si="2"/>
        <v>21.1</v>
      </c>
      <c r="AC57" s="1132">
        <f t="shared" si="3"/>
        <v>12.33</v>
      </c>
      <c r="AD57" s="1133">
        <f t="shared" si="4"/>
        <v>33.43</v>
      </c>
      <c r="AE57" s="1069">
        <f t="shared" si="15"/>
        <v>7716114</v>
      </c>
      <c r="AF57" s="1134">
        <v>0.02</v>
      </c>
      <c r="AG57" s="1070">
        <v>10978045</v>
      </c>
      <c r="AH57" s="1070">
        <v>0</v>
      </c>
      <c r="AI57" s="1135">
        <f t="shared" si="16"/>
        <v>10978045</v>
      </c>
      <c r="AJ57" s="1069">
        <v>574253950</v>
      </c>
      <c r="AK57" s="1069">
        <f t="shared" si="19"/>
        <v>548902250</v>
      </c>
      <c r="AL57" s="1136">
        <f t="shared" si="17"/>
        <v>-4.4147193066760793E-2</v>
      </c>
      <c r="AM57" s="1137">
        <f t="shared" si="18"/>
        <v>548902250</v>
      </c>
      <c r="AN57" s="1138">
        <f t="shared" si="6"/>
        <v>0.02</v>
      </c>
      <c r="AO57" s="1138">
        <f t="shared" si="7"/>
        <v>0</v>
      </c>
      <c r="AP57" s="1069">
        <v>394704.5</v>
      </c>
      <c r="AQ57" s="1069">
        <f t="shared" si="8"/>
        <v>19088863.5</v>
      </c>
      <c r="AR57" s="1069">
        <f>ROUND(AQ57/'Table 3 Levels 1&amp;2'!C57,2)</f>
        <v>2353.4499999999998</v>
      </c>
    </row>
    <row r="58" spans="1:44">
      <c r="A58" s="1062">
        <v>51</v>
      </c>
      <c r="B58" s="448" t="s">
        <v>225</v>
      </c>
      <c r="C58" s="390">
        <v>584885068</v>
      </c>
      <c r="D58" s="390">
        <v>72085491</v>
      </c>
      <c r="E58" s="390">
        <f t="shared" si="9"/>
        <v>512799577</v>
      </c>
      <c r="F58" s="390">
        <v>453330638</v>
      </c>
      <c r="G58" s="1141">
        <f t="shared" si="10"/>
        <v>0.13118226304395514</v>
      </c>
      <c r="H58" s="1142">
        <f t="shared" si="1"/>
        <v>498663701.80000001</v>
      </c>
      <c r="I58" s="1111">
        <v>8.4</v>
      </c>
      <c r="J58" s="1112">
        <v>4111772</v>
      </c>
      <c r="K58" s="1111">
        <v>11.18</v>
      </c>
      <c r="L58" s="1112">
        <v>5474625</v>
      </c>
      <c r="M58" s="1113">
        <v>11.58</v>
      </c>
      <c r="N58" s="1113">
        <v>12.25</v>
      </c>
      <c r="O58" s="1113">
        <v>3</v>
      </c>
      <c r="P58" s="1112">
        <v>5762262</v>
      </c>
      <c r="Q58" s="1066">
        <f t="shared" si="11"/>
        <v>15348659</v>
      </c>
      <c r="R58" s="1113">
        <v>0</v>
      </c>
      <c r="S58" s="1112">
        <v>0</v>
      </c>
      <c r="T58" s="1113">
        <v>8</v>
      </c>
      <c r="U58" s="1113">
        <v>18.5</v>
      </c>
      <c r="V58" s="1113">
        <v>2</v>
      </c>
      <c r="W58" s="1112">
        <v>2349577</v>
      </c>
      <c r="X58" s="390">
        <f t="shared" si="12"/>
        <v>2349577</v>
      </c>
      <c r="Y58" s="1115">
        <f t="shared" si="13"/>
        <v>19.579999999999998</v>
      </c>
      <c r="Z58" s="390">
        <f t="shared" si="13"/>
        <v>9586397</v>
      </c>
      <c r="AA58" s="390">
        <f t="shared" si="14"/>
        <v>8111839</v>
      </c>
      <c r="AB58" s="1116">
        <f t="shared" si="2"/>
        <v>4.58</v>
      </c>
      <c r="AC58" s="1117">
        <f t="shared" si="3"/>
        <v>29.93</v>
      </c>
      <c r="AD58" s="1118">
        <f t="shared" si="4"/>
        <v>34.51</v>
      </c>
      <c r="AE58" s="1066">
        <f t="shared" si="15"/>
        <v>17698236</v>
      </c>
      <c r="AF58" s="1119">
        <v>1.7500000000000002E-2</v>
      </c>
      <c r="AG58" s="1067">
        <v>15151729</v>
      </c>
      <c r="AH58" s="1067">
        <v>0</v>
      </c>
      <c r="AI58" s="1120">
        <f t="shared" si="16"/>
        <v>15151729</v>
      </c>
      <c r="AJ58" s="1066">
        <v>992898514</v>
      </c>
      <c r="AK58" s="1066">
        <f t="shared" si="19"/>
        <v>865813086</v>
      </c>
      <c r="AL58" s="1121">
        <f t="shared" si="17"/>
        <v>-0.127994378285473</v>
      </c>
      <c r="AM58" s="1122">
        <f t="shared" si="18"/>
        <v>865813086</v>
      </c>
      <c r="AN58" s="1123">
        <f t="shared" si="6"/>
        <v>1.7499999994225083E-2</v>
      </c>
      <c r="AO58" s="1123">
        <f t="shared" si="7"/>
        <v>0</v>
      </c>
      <c r="AP58" s="1066">
        <v>635703</v>
      </c>
      <c r="AQ58" s="1066">
        <f t="shared" si="8"/>
        <v>33485668</v>
      </c>
      <c r="AR58" s="1066">
        <f>ROUND(AQ58/'Table 3 Levels 1&amp;2'!C58,2)</f>
        <v>3724.35</v>
      </c>
    </row>
    <row r="59" spans="1:44">
      <c r="A59" s="1062">
        <v>52</v>
      </c>
      <c r="B59" s="448" t="s">
        <v>226</v>
      </c>
      <c r="C59" s="390">
        <v>1970468662</v>
      </c>
      <c r="D59" s="390">
        <v>498976767</v>
      </c>
      <c r="E59" s="390">
        <f t="shared" si="9"/>
        <v>1471491895</v>
      </c>
      <c r="F59" s="390">
        <v>1461883088</v>
      </c>
      <c r="G59" s="1109">
        <f t="shared" si="10"/>
        <v>6.572897024991098E-3</v>
      </c>
      <c r="H59" s="1110">
        <f t="shared" si="1"/>
        <v>1471491895</v>
      </c>
      <c r="I59" s="1111">
        <v>3.8</v>
      </c>
      <c r="J59" s="1112">
        <v>5576427</v>
      </c>
      <c r="K59" s="1111">
        <v>43.75</v>
      </c>
      <c r="L59" s="1112">
        <v>65138726</v>
      </c>
      <c r="M59" s="1113">
        <v>43.75</v>
      </c>
      <c r="N59" s="1113">
        <v>43.75</v>
      </c>
      <c r="O59" s="1113">
        <v>0</v>
      </c>
      <c r="P59" s="1112">
        <v>0</v>
      </c>
      <c r="Q59" s="1066">
        <f t="shared" si="11"/>
        <v>70715153</v>
      </c>
      <c r="R59" s="1113">
        <v>20.9</v>
      </c>
      <c r="S59" s="1112">
        <v>30802524</v>
      </c>
      <c r="T59" s="1113">
        <v>20.9</v>
      </c>
      <c r="U59" s="1113">
        <v>20.9</v>
      </c>
      <c r="V59" s="1113">
        <v>0</v>
      </c>
      <c r="W59" s="1112">
        <v>0</v>
      </c>
      <c r="X59" s="390">
        <f t="shared" si="12"/>
        <v>30802524</v>
      </c>
      <c r="Y59" s="1115">
        <f t="shared" si="13"/>
        <v>68.449999999999989</v>
      </c>
      <c r="Z59" s="390">
        <f t="shared" si="13"/>
        <v>101517677</v>
      </c>
      <c r="AA59" s="390">
        <f t="shared" si="14"/>
        <v>0</v>
      </c>
      <c r="AB59" s="1116">
        <f t="shared" si="2"/>
        <v>20.93</v>
      </c>
      <c r="AC59" s="1117">
        <f t="shared" si="3"/>
        <v>48.06</v>
      </c>
      <c r="AD59" s="1118">
        <f t="shared" si="4"/>
        <v>68.989999999999995</v>
      </c>
      <c r="AE59" s="1066">
        <f t="shared" si="15"/>
        <v>101517677</v>
      </c>
      <c r="AF59" s="1119">
        <v>0.02</v>
      </c>
      <c r="AG59" s="1067">
        <v>72079382</v>
      </c>
      <c r="AH59" s="1067">
        <v>0</v>
      </c>
      <c r="AI59" s="1120">
        <f t="shared" si="16"/>
        <v>72079382</v>
      </c>
      <c r="AJ59" s="1066">
        <v>3867991850</v>
      </c>
      <c r="AK59" s="1066">
        <f t="shared" si="19"/>
        <v>3603969100</v>
      </c>
      <c r="AL59" s="1121">
        <f t="shared" si="17"/>
        <v>-6.8258352198958233E-2</v>
      </c>
      <c r="AM59" s="1122">
        <f t="shared" si="18"/>
        <v>3603969100</v>
      </c>
      <c r="AN59" s="1123">
        <f t="shared" si="6"/>
        <v>0.02</v>
      </c>
      <c r="AO59" s="1123">
        <f t="shared" si="7"/>
        <v>0</v>
      </c>
      <c r="AP59" s="1066">
        <v>1953133</v>
      </c>
      <c r="AQ59" s="1066">
        <f t="shared" si="8"/>
        <v>175550192</v>
      </c>
      <c r="AR59" s="1066">
        <f>ROUND(AQ59/'Table 3 Levels 1&amp;2'!C59,2)</f>
        <v>4852.3999999999996</v>
      </c>
    </row>
    <row r="60" spans="1:44">
      <c r="A60" s="1062">
        <v>53</v>
      </c>
      <c r="B60" s="448" t="s">
        <v>227</v>
      </c>
      <c r="C60" s="390">
        <v>645112531</v>
      </c>
      <c r="D60" s="390">
        <v>176096232</v>
      </c>
      <c r="E60" s="390">
        <f t="shared" si="9"/>
        <v>469016299</v>
      </c>
      <c r="F60" s="390">
        <v>440163077</v>
      </c>
      <c r="G60" s="1109">
        <f t="shared" si="10"/>
        <v>6.5551209330536375E-2</v>
      </c>
      <c r="H60" s="1110">
        <f t="shared" si="1"/>
        <v>469016299</v>
      </c>
      <c r="I60" s="1111">
        <v>4.0599999999999996</v>
      </c>
      <c r="J60" s="1112">
        <v>1874895</v>
      </c>
      <c r="K60" s="1111">
        <v>0</v>
      </c>
      <c r="L60" s="1112">
        <v>0</v>
      </c>
      <c r="M60" s="1113">
        <v>0</v>
      </c>
      <c r="N60" s="1113">
        <v>9</v>
      </c>
      <c r="O60" s="1113">
        <v>1</v>
      </c>
      <c r="P60" s="1112">
        <v>2051653</v>
      </c>
      <c r="Q60" s="1066">
        <f t="shared" si="11"/>
        <v>3926548</v>
      </c>
      <c r="R60" s="1113">
        <v>0</v>
      </c>
      <c r="S60" s="1112">
        <v>0</v>
      </c>
      <c r="T60" s="1113">
        <v>2</v>
      </c>
      <c r="U60" s="1113">
        <v>18</v>
      </c>
      <c r="V60" s="1113">
        <v>7</v>
      </c>
      <c r="W60" s="1112">
        <v>1744531</v>
      </c>
      <c r="X60" s="390">
        <f t="shared" si="12"/>
        <v>1744531</v>
      </c>
      <c r="Y60" s="1115">
        <f t="shared" si="13"/>
        <v>4.0599999999999996</v>
      </c>
      <c r="Z60" s="390">
        <f t="shared" si="13"/>
        <v>1874895</v>
      </c>
      <c r="AA60" s="390">
        <f t="shared" si="14"/>
        <v>3796184</v>
      </c>
      <c r="AB60" s="1116">
        <f t="shared" si="2"/>
        <v>3.72</v>
      </c>
      <c r="AC60" s="1117">
        <f t="shared" si="3"/>
        <v>8.3699999999999992</v>
      </c>
      <c r="AD60" s="1118">
        <f t="shared" si="4"/>
        <v>12.09</v>
      </c>
      <c r="AE60" s="1066">
        <f t="shared" si="15"/>
        <v>5671079</v>
      </c>
      <c r="AF60" s="1119">
        <v>0.02</v>
      </c>
      <c r="AG60" s="1067">
        <v>26466413</v>
      </c>
      <c r="AH60" s="1067">
        <v>4004105</v>
      </c>
      <c r="AI60" s="1120">
        <f t="shared" si="16"/>
        <v>30470518</v>
      </c>
      <c r="AJ60" s="1066">
        <v>1624678300</v>
      </c>
      <c r="AK60" s="1066">
        <f t="shared" si="19"/>
        <v>1523525900</v>
      </c>
      <c r="AL60" s="1121">
        <f t="shared" si="17"/>
        <v>-6.2259956324892132E-2</v>
      </c>
      <c r="AM60" s="1122">
        <f t="shared" si="18"/>
        <v>1523525900</v>
      </c>
      <c r="AN60" s="1123">
        <f t="shared" si="6"/>
        <v>1.7371816914960224E-2</v>
      </c>
      <c r="AO60" s="1123">
        <f t="shared" si="7"/>
        <v>2.6281830850397752E-3</v>
      </c>
      <c r="AP60" s="1066">
        <v>206878.5</v>
      </c>
      <c r="AQ60" s="1066">
        <f t="shared" si="8"/>
        <v>36348475.5</v>
      </c>
      <c r="AR60" s="1066">
        <f>ROUND(AQ60/'Table 3 Levels 1&amp;2'!C60,2)</f>
        <v>1949.5</v>
      </c>
    </row>
    <row r="61" spans="1:44">
      <c r="A61" s="1062">
        <v>54</v>
      </c>
      <c r="B61" s="448" t="s">
        <v>228</v>
      </c>
      <c r="C61" s="390">
        <v>52428146</v>
      </c>
      <c r="D61" s="390">
        <v>6137113</v>
      </c>
      <c r="E61" s="390">
        <f t="shared" si="9"/>
        <v>46291033</v>
      </c>
      <c r="F61" s="390">
        <v>43271502</v>
      </c>
      <c r="G61" s="1109">
        <f t="shared" si="10"/>
        <v>6.9781053590420777E-2</v>
      </c>
      <c r="H61" s="1110">
        <f t="shared" si="1"/>
        <v>46291033</v>
      </c>
      <c r="I61" s="1111">
        <v>4.45</v>
      </c>
      <c r="J61" s="1112">
        <v>205820</v>
      </c>
      <c r="K61" s="1111">
        <v>29.28</v>
      </c>
      <c r="L61" s="1112">
        <v>1354248</v>
      </c>
      <c r="M61" s="1113">
        <v>0</v>
      </c>
      <c r="N61" s="1113">
        <v>0</v>
      </c>
      <c r="O61" s="1113">
        <v>0</v>
      </c>
      <c r="P61" s="1112">
        <v>0</v>
      </c>
      <c r="Q61" s="1066">
        <f t="shared" si="11"/>
        <v>1560068</v>
      </c>
      <c r="R61" s="1113">
        <v>0</v>
      </c>
      <c r="S61" s="1112">
        <v>0</v>
      </c>
      <c r="T61" s="1113">
        <v>0</v>
      </c>
      <c r="U61" s="1113">
        <v>0</v>
      </c>
      <c r="V61" s="1113">
        <v>0</v>
      </c>
      <c r="W61" s="1112">
        <v>0</v>
      </c>
      <c r="X61" s="390">
        <f t="shared" si="12"/>
        <v>0</v>
      </c>
      <c r="Y61" s="1115">
        <f t="shared" si="13"/>
        <v>33.730000000000004</v>
      </c>
      <c r="Z61" s="390">
        <f t="shared" si="13"/>
        <v>1560068</v>
      </c>
      <c r="AA61" s="390">
        <f t="shared" si="14"/>
        <v>0</v>
      </c>
      <c r="AB61" s="1116">
        <f t="shared" si="2"/>
        <v>0</v>
      </c>
      <c r="AC61" s="1117">
        <f t="shared" si="3"/>
        <v>33.700000000000003</v>
      </c>
      <c r="AD61" s="1118">
        <f t="shared" si="4"/>
        <v>33.700000000000003</v>
      </c>
      <c r="AE61" s="1066">
        <f t="shared" si="15"/>
        <v>1560068</v>
      </c>
      <c r="AF61" s="1119">
        <v>1.4999999999999999E-2</v>
      </c>
      <c r="AG61" s="1067">
        <v>587547</v>
      </c>
      <c r="AH61" s="1067">
        <v>0</v>
      </c>
      <c r="AI61" s="1120">
        <f t="shared" si="16"/>
        <v>587547</v>
      </c>
      <c r="AJ61" s="1066">
        <v>48433133</v>
      </c>
      <c r="AK61" s="1066">
        <f t="shared" si="19"/>
        <v>39169800</v>
      </c>
      <c r="AL61" s="1121">
        <f t="shared" si="17"/>
        <v>-0.1912602474012986</v>
      </c>
      <c r="AM61" s="1122">
        <f t="shared" si="18"/>
        <v>39169800</v>
      </c>
      <c r="AN61" s="1123">
        <f t="shared" si="6"/>
        <v>1.4999999999999999E-2</v>
      </c>
      <c r="AO61" s="1123">
        <f t="shared" si="7"/>
        <v>0</v>
      </c>
      <c r="AP61" s="1066">
        <v>60404.5</v>
      </c>
      <c r="AQ61" s="1066">
        <f t="shared" si="8"/>
        <v>2208019.5</v>
      </c>
      <c r="AR61" s="1066">
        <f>ROUND(AQ61/'Table 3 Levels 1&amp;2'!C61,2)</f>
        <v>3271.14</v>
      </c>
    </row>
    <row r="62" spans="1:44">
      <c r="A62" s="1064">
        <v>55</v>
      </c>
      <c r="B62" s="1124" t="s">
        <v>229</v>
      </c>
      <c r="C62" s="409">
        <v>893407805</v>
      </c>
      <c r="D62" s="409">
        <v>171242510</v>
      </c>
      <c r="E62" s="409">
        <f t="shared" si="9"/>
        <v>722165295</v>
      </c>
      <c r="F62" s="409">
        <v>709298030</v>
      </c>
      <c r="G62" s="1125">
        <f t="shared" si="10"/>
        <v>1.8140844124436662E-2</v>
      </c>
      <c r="H62" s="1126">
        <f t="shared" si="1"/>
        <v>722165295</v>
      </c>
      <c r="I62" s="1127">
        <v>3.68</v>
      </c>
      <c r="J62" s="1128">
        <v>2621457</v>
      </c>
      <c r="K62" s="1127">
        <v>5.15</v>
      </c>
      <c r="L62" s="1128">
        <v>3668508</v>
      </c>
      <c r="M62" s="1129">
        <v>0</v>
      </c>
      <c r="N62" s="1129">
        <v>0</v>
      </c>
      <c r="O62" s="1129">
        <v>0</v>
      </c>
      <c r="P62" s="1128">
        <v>0</v>
      </c>
      <c r="Q62" s="1069">
        <f t="shared" si="11"/>
        <v>6289965</v>
      </c>
      <c r="R62" s="1129">
        <v>0</v>
      </c>
      <c r="S62" s="1128">
        <v>2</v>
      </c>
      <c r="T62" s="1129">
        <v>0</v>
      </c>
      <c r="U62" s="1129">
        <v>0</v>
      </c>
      <c r="V62" s="1129">
        <v>0</v>
      </c>
      <c r="W62" s="1128">
        <v>0</v>
      </c>
      <c r="X62" s="409">
        <f t="shared" si="12"/>
        <v>2</v>
      </c>
      <c r="Y62" s="1130">
        <f t="shared" si="13"/>
        <v>8.83</v>
      </c>
      <c r="Z62" s="409">
        <f t="shared" si="13"/>
        <v>6289967</v>
      </c>
      <c r="AA62" s="409">
        <f t="shared" si="14"/>
        <v>0</v>
      </c>
      <c r="AB62" s="1131">
        <f t="shared" si="2"/>
        <v>0</v>
      </c>
      <c r="AC62" s="1132">
        <f t="shared" si="3"/>
        <v>8.7100000000000009</v>
      </c>
      <c r="AD62" s="1133">
        <f t="shared" si="4"/>
        <v>8.7100000000000009</v>
      </c>
      <c r="AE62" s="1069">
        <f t="shared" si="15"/>
        <v>6289967</v>
      </c>
      <c r="AF62" s="1134">
        <v>2.0799999999999999E-2</v>
      </c>
      <c r="AG62" s="1070">
        <v>44090552</v>
      </c>
      <c r="AH62" s="1070">
        <v>0</v>
      </c>
      <c r="AI62" s="1135">
        <f t="shared" si="16"/>
        <v>44090552</v>
      </c>
      <c r="AJ62" s="1069">
        <v>2508949615</v>
      </c>
      <c r="AK62" s="1069">
        <f t="shared" si="19"/>
        <v>2119738077</v>
      </c>
      <c r="AL62" s="1136">
        <f t="shared" si="17"/>
        <v>-0.15512927628082321</v>
      </c>
      <c r="AM62" s="1137">
        <f t="shared" si="18"/>
        <v>2119738077</v>
      </c>
      <c r="AN62" s="1138">
        <f t="shared" si="6"/>
        <v>2.079999999924519E-2</v>
      </c>
      <c r="AO62" s="1138">
        <f t="shared" si="7"/>
        <v>0</v>
      </c>
      <c r="AP62" s="1069">
        <v>367416.5</v>
      </c>
      <c r="AQ62" s="1069">
        <f t="shared" si="8"/>
        <v>50747935.5</v>
      </c>
      <c r="AR62" s="1069">
        <f>ROUND(AQ62/'Table 3 Levels 1&amp;2'!C62,2)</f>
        <v>2878.17</v>
      </c>
    </row>
    <row r="63" spans="1:44">
      <c r="A63" s="1062">
        <v>56</v>
      </c>
      <c r="B63" s="448" t="s">
        <v>230</v>
      </c>
      <c r="C63" s="390">
        <v>165173680</v>
      </c>
      <c r="D63" s="390">
        <v>34260502</v>
      </c>
      <c r="E63" s="390">
        <f t="shared" si="9"/>
        <v>130913178</v>
      </c>
      <c r="F63" s="390">
        <v>114613401</v>
      </c>
      <c r="G63" s="1141">
        <f t="shared" si="10"/>
        <v>0.14221528074190906</v>
      </c>
      <c r="H63" s="1142">
        <f t="shared" si="1"/>
        <v>126074741.10000001</v>
      </c>
      <c r="I63" s="1111">
        <v>3.55</v>
      </c>
      <c r="J63" s="1112">
        <v>477504</v>
      </c>
      <c r="K63" s="1111">
        <v>18.23</v>
      </c>
      <c r="L63" s="1112">
        <v>2465887</v>
      </c>
      <c r="M63" s="1113">
        <v>1.48</v>
      </c>
      <c r="N63" s="1113">
        <v>1.64</v>
      </c>
      <c r="O63" s="1113">
        <v>9</v>
      </c>
      <c r="P63" s="1112">
        <v>221416</v>
      </c>
      <c r="Q63" s="1066">
        <f t="shared" si="11"/>
        <v>3164807</v>
      </c>
      <c r="R63" s="1113">
        <v>0</v>
      </c>
      <c r="S63" s="1112">
        <v>0</v>
      </c>
      <c r="T63" s="1113">
        <v>0</v>
      </c>
      <c r="U63" s="1113">
        <v>0</v>
      </c>
      <c r="V63" s="1113">
        <v>0</v>
      </c>
      <c r="W63" s="1112">
        <v>0</v>
      </c>
      <c r="X63" s="390">
        <f t="shared" si="12"/>
        <v>0</v>
      </c>
      <c r="Y63" s="1115">
        <f t="shared" si="13"/>
        <v>21.78</v>
      </c>
      <c r="Z63" s="390">
        <f t="shared" si="13"/>
        <v>2943391</v>
      </c>
      <c r="AA63" s="390">
        <f t="shared" si="14"/>
        <v>221416</v>
      </c>
      <c r="AB63" s="1116">
        <f t="shared" si="2"/>
        <v>0</v>
      </c>
      <c r="AC63" s="1117">
        <f t="shared" si="3"/>
        <v>24.17</v>
      </c>
      <c r="AD63" s="1118">
        <f t="shared" si="4"/>
        <v>24.17</v>
      </c>
      <c r="AE63" s="1066">
        <f t="shared" si="15"/>
        <v>3164807</v>
      </c>
      <c r="AF63" s="1119">
        <v>0.02</v>
      </c>
      <c r="AG63" s="1067">
        <v>5516496</v>
      </c>
      <c r="AH63" s="1067">
        <v>0</v>
      </c>
      <c r="AI63" s="1120">
        <f t="shared" si="16"/>
        <v>5516496</v>
      </c>
      <c r="AJ63" s="1066">
        <v>279761500</v>
      </c>
      <c r="AK63" s="1066">
        <f t="shared" si="19"/>
        <v>275824800</v>
      </c>
      <c r="AL63" s="1121">
        <f t="shared" si="17"/>
        <v>-1.4071628869590704E-2</v>
      </c>
      <c r="AM63" s="1122">
        <f t="shared" si="18"/>
        <v>275824800</v>
      </c>
      <c r="AN63" s="1123">
        <f t="shared" si="6"/>
        <v>0.02</v>
      </c>
      <c r="AO63" s="1123">
        <f t="shared" si="7"/>
        <v>0</v>
      </c>
      <c r="AP63" s="1066">
        <v>160000</v>
      </c>
      <c r="AQ63" s="1066">
        <f t="shared" si="8"/>
        <v>8841303</v>
      </c>
      <c r="AR63" s="1066">
        <f>ROUND(AQ63/'Table 3 Levels 1&amp;2'!C63,2)</f>
        <v>3134.1</v>
      </c>
    </row>
    <row r="64" spans="1:44">
      <c r="A64" s="1062">
        <v>57</v>
      </c>
      <c r="B64" s="448" t="s">
        <v>231</v>
      </c>
      <c r="C64" s="390">
        <v>393996650</v>
      </c>
      <c r="D64" s="390">
        <v>87986420</v>
      </c>
      <c r="E64" s="390">
        <f t="shared" si="9"/>
        <v>306010230</v>
      </c>
      <c r="F64" s="390">
        <v>289879210</v>
      </c>
      <c r="G64" s="1109">
        <f t="shared" si="10"/>
        <v>5.5647384991838494E-2</v>
      </c>
      <c r="H64" s="1110">
        <f t="shared" si="1"/>
        <v>306010230</v>
      </c>
      <c r="I64" s="1111">
        <v>4.51</v>
      </c>
      <c r="J64" s="1112">
        <v>1369455</v>
      </c>
      <c r="K64" s="1111">
        <v>35</v>
      </c>
      <c r="L64" s="1112">
        <v>10613868</v>
      </c>
      <c r="M64" s="1113">
        <v>0</v>
      </c>
      <c r="N64" s="1113">
        <v>0</v>
      </c>
      <c r="O64" s="1113">
        <v>0</v>
      </c>
      <c r="P64" s="1112">
        <v>0</v>
      </c>
      <c r="Q64" s="1066">
        <f t="shared" si="11"/>
        <v>11983323</v>
      </c>
      <c r="R64" s="1113">
        <v>0</v>
      </c>
      <c r="S64" s="1112">
        <v>0</v>
      </c>
      <c r="T64" s="1113">
        <v>0</v>
      </c>
      <c r="U64" s="1113">
        <v>0</v>
      </c>
      <c r="V64" s="1113">
        <v>0</v>
      </c>
      <c r="W64" s="1112">
        <v>0</v>
      </c>
      <c r="X64" s="390">
        <f t="shared" si="12"/>
        <v>0</v>
      </c>
      <c r="Y64" s="1115">
        <f t="shared" si="13"/>
        <v>39.51</v>
      </c>
      <c r="Z64" s="390">
        <f t="shared" si="13"/>
        <v>11983323</v>
      </c>
      <c r="AA64" s="390">
        <f t="shared" si="14"/>
        <v>0</v>
      </c>
      <c r="AB64" s="1116">
        <f t="shared" si="2"/>
        <v>0</v>
      </c>
      <c r="AC64" s="1117">
        <f t="shared" si="3"/>
        <v>39.159999999999997</v>
      </c>
      <c r="AD64" s="1118">
        <f t="shared" si="4"/>
        <v>39.159999999999997</v>
      </c>
      <c r="AE64" s="1066">
        <f t="shared" si="15"/>
        <v>11983323</v>
      </c>
      <c r="AF64" s="1119">
        <v>1.4999999999999999E-2</v>
      </c>
      <c r="AG64" s="1067">
        <v>9348632</v>
      </c>
      <c r="AH64" s="1067">
        <v>0</v>
      </c>
      <c r="AI64" s="1120">
        <f t="shared" si="16"/>
        <v>9348632</v>
      </c>
      <c r="AJ64" s="1066">
        <v>790146100</v>
      </c>
      <c r="AK64" s="1066">
        <f t="shared" si="19"/>
        <v>623242133</v>
      </c>
      <c r="AL64" s="1121">
        <f t="shared" si="17"/>
        <v>-0.21123177979363564</v>
      </c>
      <c r="AM64" s="1122">
        <f t="shared" si="18"/>
        <v>623242133</v>
      </c>
      <c r="AN64" s="1123">
        <f t="shared" si="6"/>
        <v>1.5000000008022565E-2</v>
      </c>
      <c r="AO64" s="1123">
        <f t="shared" si="7"/>
        <v>0</v>
      </c>
      <c r="AP64" s="1066">
        <v>1700971</v>
      </c>
      <c r="AQ64" s="1066">
        <f t="shared" si="8"/>
        <v>23032926</v>
      </c>
      <c r="AR64" s="1066">
        <f>ROUND(AQ64/'Table 3 Levels 1&amp;2'!C64,2)</f>
        <v>2624.24</v>
      </c>
    </row>
    <row r="65" spans="1:44">
      <c r="A65" s="1062">
        <v>58</v>
      </c>
      <c r="B65" s="448" t="s">
        <v>232</v>
      </c>
      <c r="C65" s="390">
        <v>165341890</v>
      </c>
      <c r="D65" s="390">
        <v>43883160</v>
      </c>
      <c r="E65" s="390">
        <f t="shared" si="9"/>
        <v>121458730</v>
      </c>
      <c r="F65" s="390">
        <v>123425910</v>
      </c>
      <c r="G65" s="1109">
        <f t="shared" si="10"/>
        <v>-1.5938144592168694E-2</v>
      </c>
      <c r="H65" s="1110">
        <f t="shared" si="1"/>
        <v>121458730</v>
      </c>
      <c r="I65" s="1111">
        <v>4.0199999999999996</v>
      </c>
      <c r="J65" s="1112">
        <v>466943</v>
      </c>
      <c r="K65" s="1111">
        <v>7.8</v>
      </c>
      <c r="L65" s="1112">
        <v>906007</v>
      </c>
      <c r="M65" s="1113">
        <v>10</v>
      </c>
      <c r="N65" s="1113">
        <v>18.649999999999999</v>
      </c>
      <c r="O65" s="1113">
        <v>9</v>
      </c>
      <c r="P65" s="1112">
        <v>1731069</v>
      </c>
      <c r="Q65" s="1066">
        <f t="shared" si="11"/>
        <v>3104019</v>
      </c>
      <c r="R65" s="1113">
        <v>0</v>
      </c>
      <c r="S65" s="1112">
        <v>0</v>
      </c>
      <c r="T65" s="1113">
        <v>9.57</v>
      </c>
      <c r="U65" s="1113">
        <v>52.91</v>
      </c>
      <c r="V65" s="1113">
        <v>9</v>
      </c>
      <c r="W65" s="1112">
        <v>2319946</v>
      </c>
      <c r="X65" s="390">
        <f t="shared" si="12"/>
        <v>2319946</v>
      </c>
      <c r="Y65" s="1115">
        <f t="shared" si="13"/>
        <v>11.82</v>
      </c>
      <c r="Z65" s="390">
        <f t="shared" si="13"/>
        <v>1372950</v>
      </c>
      <c r="AA65" s="390">
        <f t="shared" si="14"/>
        <v>4051015</v>
      </c>
      <c r="AB65" s="1116">
        <f t="shared" si="2"/>
        <v>19.100000000000001</v>
      </c>
      <c r="AC65" s="1117">
        <f t="shared" si="3"/>
        <v>25.56</v>
      </c>
      <c r="AD65" s="1118">
        <f t="shared" si="4"/>
        <v>44.66</v>
      </c>
      <c r="AE65" s="1066">
        <f t="shared" si="15"/>
        <v>5423965</v>
      </c>
      <c r="AF65" s="1119">
        <v>0.02</v>
      </c>
      <c r="AG65" s="1067">
        <v>10777407</v>
      </c>
      <c r="AH65" s="1067">
        <v>0</v>
      </c>
      <c r="AI65" s="1120">
        <f t="shared" si="16"/>
        <v>10777407</v>
      </c>
      <c r="AJ65" s="1066">
        <v>531050300</v>
      </c>
      <c r="AK65" s="1066">
        <f t="shared" si="19"/>
        <v>538870350</v>
      </c>
      <c r="AL65" s="1121">
        <f t="shared" si="17"/>
        <v>1.4725629568423179E-2</v>
      </c>
      <c r="AM65" s="1122">
        <f t="shared" si="18"/>
        <v>538870350</v>
      </c>
      <c r="AN65" s="1123">
        <f t="shared" si="6"/>
        <v>0.02</v>
      </c>
      <c r="AO65" s="1123">
        <f t="shared" si="7"/>
        <v>0</v>
      </c>
      <c r="AP65" s="1066">
        <v>527347.5</v>
      </c>
      <c r="AQ65" s="1066">
        <f t="shared" si="8"/>
        <v>16728719.5</v>
      </c>
      <c r="AR65" s="1066">
        <f>ROUND(AQ65/'Table 3 Levels 1&amp;2'!C65,2)</f>
        <v>1805.39</v>
      </c>
    </row>
    <row r="66" spans="1:44">
      <c r="A66" s="1062">
        <v>59</v>
      </c>
      <c r="B66" s="448" t="s">
        <v>233</v>
      </c>
      <c r="C66" s="390">
        <v>118964970</v>
      </c>
      <c r="D66" s="390">
        <v>41784130</v>
      </c>
      <c r="E66" s="390">
        <f t="shared" si="9"/>
        <v>77180840</v>
      </c>
      <c r="F66" s="390">
        <v>75970428</v>
      </c>
      <c r="G66" s="1109">
        <f t="shared" si="10"/>
        <v>1.5932673171197613E-2</v>
      </c>
      <c r="H66" s="1110">
        <f t="shared" si="1"/>
        <v>77180840</v>
      </c>
      <c r="I66" s="1111">
        <v>3.91</v>
      </c>
      <c r="J66" s="1112">
        <v>303403</v>
      </c>
      <c r="K66" s="1111">
        <v>15.07</v>
      </c>
      <c r="L66" s="1112">
        <v>1169381</v>
      </c>
      <c r="M66" s="1113">
        <v>5.19</v>
      </c>
      <c r="N66" s="1113">
        <v>5.19</v>
      </c>
      <c r="O66" s="1113">
        <v>1</v>
      </c>
      <c r="P66" s="1112">
        <v>22318</v>
      </c>
      <c r="Q66" s="1066">
        <f t="shared" si="11"/>
        <v>1495102</v>
      </c>
      <c r="R66" s="1113">
        <v>0</v>
      </c>
      <c r="S66" s="1112">
        <v>0</v>
      </c>
      <c r="T66" s="1113">
        <v>17.5</v>
      </c>
      <c r="U66" s="1113">
        <v>35</v>
      </c>
      <c r="V66" s="1113">
        <v>3</v>
      </c>
      <c r="W66" s="1112">
        <v>2361117</v>
      </c>
      <c r="X66" s="390">
        <f t="shared" si="12"/>
        <v>2361117</v>
      </c>
      <c r="Y66" s="1115">
        <f t="shared" si="13"/>
        <v>18.98</v>
      </c>
      <c r="Z66" s="390">
        <f t="shared" si="13"/>
        <v>1472784</v>
      </c>
      <c r="AA66" s="390">
        <f t="shared" si="14"/>
        <v>2383435</v>
      </c>
      <c r="AB66" s="1116">
        <f t="shared" si="2"/>
        <v>30.59</v>
      </c>
      <c r="AC66" s="1117">
        <f t="shared" si="3"/>
        <v>19.37</v>
      </c>
      <c r="AD66" s="1118">
        <f t="shared" si="4"/>
        <v>49.96</v>
      </c>
      <c r="AE66" s="1066">
        <f t="shared" si="15"/>
        <v>3856219</v>
      </c>
      <c r="AF66" s="1119">
        <v>0.02</v>
      </c>
      <c r="AG66" s="1067">
        <v>3684266</v>
      </c>
      <c r="AH66" s="1067">
        <v>0</v>
      </c>
      <c r="AI66" s="1120">
        <f t="shared" si="16"/>
        <v>3684266</v>
      </c>
      <c r="AJ66" s="1066">
        <v>207596400</v>
      </c>
      <c r="AK66" s="1066">
        <f t="shared" si="19"/>
        <v>184213300</v>
      </c>
      <c r="AL66" s="1121">
        <f t="shared" si="17"/>
        <v>-0.11263730970286576</v>
      </c>
      <c r="AM66" s="1122">
        <f t="shared" si="18"/>
        <v>184213300</v>
      </c>
      <c r="AN66" s="1123">
        <f t="shared" si="6"/>
        <v>0.02</v>
      </c>
      <c r="AO66" s="1123">
        <f t="shared" si="7"/>
        <v>0</v>
      </c>
      <c r="AP66" s="1066">
        <v>160955</v>
      </c>
      <c r="AQ66" s="1066">
        <f t="shared" si="8"/>
        <v>7701440</v>
      </c>
      <c r="AR66" s="1066">
        <f>ROUND(AQ66/'Table 3 Levels 1&amp;2'!C66,2)</f>
        <v>1509.49</v>
      </c>
    </row>
    <row r="67" spans="1:44">
      <c r="A67" s="1064">
        <v>60</v>
      </c>
      <c r="B67" s="1124" t="s">
        <v>234</v>
      </c>
      <c r="C67" s="409">
        <v>265498440</v>
      </c>
      <c r="D67" s="409">
        <v>51541028</v>
      </c>
      <c r="E67" s="409">
        <f t="shared" si="9"/>
        <v>213957412</v>
      </c>
      <c r="F67" s="409">
        <v>191836371</v>
      </c>
      <c r="G67" s="1151">
        <f t="shared" si="10"/>
        <v>0.11531202808251621</v>
      </c>
      <c r="H67" s="1152">
        <f t="shared" si="1"/>
        <v>211020008.10000002</v>
      </c>
      <c r="I67" s="1127">
        <v>4.18</v>
      </c>
      <c r="J67" s="1128">
        <v>883572</v>
      </c>
      <c r="K67" s="1127">
        <v>11.58</v>
      </c>
      <c r="L67" s="1128">
        <v>2447890</v>
      </c>
      <c r="M67" s="1129">
        <v>6.75</v>
      </c>
      <c r="N67" s="1129">
        <v>25.37</v>
      </c>
      <c r="O67" s="1129">
        <v>3</v>
      </c>
      <c r="P67" s="1128">
        <v>1361372</v>
      </c>
      <c r="Q67" s="1069">
        <f t="shared" si="11"/>
        <v>4692834</v>
      </c>
      <c r="R67" s="1129">
        <v>0</v>
      </c>
      <c r="S67" s="1128">
        <v>0</v>
      </c>
      <c r="T67" s="1129">
        <v>19</v>
      </c>
      <c r="U67" s="1129">
        <v>50</v>
      </c>
      <c r="V67" s="1129">
        <v>7</v>
      </c>
      <c r="W67" s="1128">
        <v>6057885</v>
      </c>
      <c r="X67" s="409">
        <f t="shared" si="12"/>
        <v>6057885</v>
      </c>
      <c r="Y67" s="1130">
        <f t="shared" si="13"/>
        <v>15.76</v>
      </c>
      <c r="Z67" s="409">
        <f t="shared" si="13"/>
        <v>3331462</v>
      </c>
      <c r="AA67" s="409">
        <f t="shared" si="14"/>
        <v>7419257</v>
      </c>
      <c r="AB67" s="1131">
        <f t="shared" si="2"/>
        <v>28.31</v>
      </c>
      <c r="AC67" s="1132">
        <f t="shared" si="3"/>
        <v>21.93</v>
      </c>
      <c r="AD67" s="1133">
        <f t="shared" si="4"/>
        <v>50.25</v>
      </c>
      <c r="AE67" s="1069">
        <f t="shared" si="15"/>
        <v>10750719</v>
      </c>
      <c r="AF67" s="1134">
        <v>2.1299999999999999E-2</v>
      </c>
      <c r="AG67" s="1070">
        <v>13864373</v>
      </c>
      <c r="AH67" s="1070">
        <v>0</v>
      </c>
      <c r="AI67" s="1135">
        <f t="shared" si="16"/>
        <v>13864373</v>
      </c>
      <c r="AJ67" s="1069">
        <v>717273662</v>
      </c>
      <c r="AK67" s="1069">
        <f t="shared" si="19"/>
        <v>650909531</v>
      </c>
      <c r="AL67" s="1136">
        <f t="shared" si="17"/>
        <v>-9.2522749009010738E-2</v>
      </c>
      <c r="AM67" s="1137">
        <f t="shared" si="18"/>
        <v>650909531</v>
      </c>
      <c r="AN67" s="1138">
        <f t="shared" si="6"/>
        <v>2.1299999984175987E-2</v>
      </c>
      <c r="AO67" s="1138">
        <f t="shared" si="7"/>
        <v>0</v>
      </c>
      <c r="AP67" s="1069">
        <v>372075</v>
      </c>
      <c r="AQ67" s="1069">
        <f t="shared" si="8"/>
        <v>24987167</v>
      </c>
      <c r="AR67" s="1069">
        <f>ROUND(AQ67/'Table 3 Levels 1&amp;2'!C67,2)</f>
        <v>3715.56</v>
      </c>
    </row>
    <row r="68" spans="1:44">
      <c r="A68" s="1062">
        <v>61</v>
      </c>
      <c r="B68" s="448" t="s">
        <v>235</v>
      </c>
      <c r="C68" s="390">
        <v>349289280</v>
      </c>
      <c r="D68" s="390">
        <v>37698647</v>
      </c>
      <c r="E68" s="390">
        <f t="shared" si="9"/>
        <v>311590633</v>
      </c>
      <c r="F68" s="390">
        <v>290257252</v>
      </c>
      <c r="G68" s="1109">
        <f t="shared" si="10"/>
        <v>7.3498184293428095E-2</v>
      </c>
      <c r="H68" s="1110">
        <f t="shared" si="1"/>
        <v>311590633</v>
      </c>
      <c r="I68" s="1111">
        <v>4.3899999999999997</v>
      </c>
      <c r="J68" s="1112">
        <v>1364221</v>
      </c>
      <c r="K68" s="1111">
        <v>27</v>
      </c>
      <c r="L68" s="1112">
        <v>8390419</v>
      </c>
      <c r="M68" s="1113">
        <v>0</v>
      </c>
      <c r="N68" s="1113">
        <v>0</v>
      </c>
      <c r="O68" s="1113">
        <v>0</v>
      </c>
      <c r="P68" s="1112">
        <v>0</v>
      </c>
      <c r="Q68" s="1066">
        <f t="shared" si="11"/>
        <v>9754640</v>
      </c>
      <c r="R68" s="1113">
        <v>6</v>
      </c>
      <c r="S68" s="1112">
        <v>1864547</v>
      </c>
      <c r="T68" s="1113">
        <v>0</v>
      </c>
      <c r="U68" s="1113">
        <v>0</v>
      </c>
      <c r="V68" s="1113">
        <v>0</v>
      </c>
      <c r="W68" s="1112">
        <v>0</v>
      </c>
      <c r="X68" s="390">
        <f t="shared" si="12"/>
        <v>1864547</v>
      </c>
      <c r="Y68" s="1115">
        <f t="shared" si="13"/>
        <v>37.39</v>
      </c>
      <c r="Z68" s="390">
        <f t="shared" si="13"/>
        <v>11619187</v>
      </c>
      <c r="AA68" s="390">
        <f t="shared" si="14"/>
        <v>0</v>
      </c>
      <c r="AB68" s="1116">
        <f t="shared" si="2"/>
        <v>5.98</v>
      </c>
      <c r="AC68" s="1117">
        <f t="shared" si="3"/>
        <v>31.31</v>
      </c>
      <c r="AD68" s="1118">
        <f t="shared" si="4"/>
        <v>37.29</v>
      </c>
      <c r="AE68" s="1066">
        <f t="shared" si="15"/>
        <v>11619187</v>
      </c>
      <c r="AF68" s="1119">
        <v>0.02</v>
      </c>
      <c r="AG68" s="1067">
        <v>10739947</v>
      </c>
      <c r="AH68" s="1067">
        <v>0</v>
      </c>
      <c r="AI68" s="1120">
        <f t="shared" si="16"/>
        <v>10739947</v>
      </c>
      <c r="AJ68" s="1066">
        <v>629916250</v>
      </c>
      <c r="AK68" s="1066">
        <f t="shared" si="19"/>
        <v>536997350</v>
      </c>
      <c r="AL68" s="1121">
        <f t="shared" si="17"/>
        <v>-0.14750992691488748</v>
      </c>
      <c r="AM68" s="1122">
        <f t="shared" si="18"/>
        <v>536997350</v>
      </c>
      <c r="AN68" s="1123">
        <f t="shared" si="6"/>
        <v>0.02</v>
      </c>
      <c r="AO68" s="1123">
        <f t="shared" si="7"/>
        <v>0</v>
      </c>
      <c r="AP68" s="1066">
        <v>207611</v>
      </c>
      <c r="AQ68" s="1066">
        <f t="shared" si="8"/>
        <v>22566745</v>
      </c>
      <c r="AR68" s="1066">
        <f>ROUND(AQ68/'Table 3 Levels 1&amp;2'!C68,2)</f>
        <v>6503.38</v>
      </c>
    </row>
    <row r="69" spans="1:44">
      <c r="A69" s="1062">
        <v>62</v>
      </c>
      <c r="B69" s="448" t="s">
        <v>236</v>
      </c>
      <c r="C69" s="390">
        <v>69217410</v>
      </c>
      <c r="D69" s="390">
        <v>16157651</v>
      </c>
      <c r="E69" s="390">
        <f t="shared" si="9"/>
        <v>53059759</v>
      </c>
      <c r="F69" s="390">
        <v>52270893</v>
      </c>
      <c r="G69" s="1109">
        <f t="shared" si="10"/>
        <v>1.5091879145818304E-2</v>
      </c>
      <c r="H69" s="1110">
        <f t="shared" si="1"/>
        <v>53059759</v>
      </c>
      <c r="I69" s="1111">
        <v>6.33</v>
      </c>
      <c r="J69" s="1112">
        <v>326809</v>
      </c>
      <c r="K69" s="1111">
        <v>16.899999999999999</v>
      </c>
      <c r="L69" s="1112">
        <v>872515</v>
      </c>
      <c r="M69" s="1113">
        <v>4.47</v>
      </c>
      <c r="N69" s="1113">
        <v>4.47</v>
      </c>
      <c r="O69" s="1113">
        <v>1</v>
      </c>
      <c r="P69" s="1112">
        <v>114786</v>
      </c>
      <c r="Q69" s="1066">
        <f t="shared" si="11"/>
        <v>1314110</v>
      </c>
      <c r="R69" s="1113">
        <v>0</v>
      </c>
      <c r="S69" s="1112">
        <v>0</v>
      </c>
      <c r="T69" s="1113">
        <v>0</v>
      </c>
      <c r="U69" s="1113">
        <v>0</v>
      </c>
      <c r="V69" s="1113">
        <v>0</v>
      </c>
      <c r="W69" s="1112">
        <v>0</v>
      </c>
      <c r="X69" s="390">
        <f t="shared" si="12"/>
        <v>0</v>
      </c>
      <c r="Y69" s="1115">
        <f t="shared" si="13"/>
        <v>23.229999999999997</v>
      </c>
      <c r="Z69" s="390">
        <f t="shared" si="13"/>
        <v>1199324</v>
      </c>
      <c r="AA69" s="390">
        <f t="shared" si="14"/>
        <v>114786</v>
      </c>
      <c r="AB69" s="1116">
        <f t="shared" si="2"/>
        <v>0</v>
      </c>
      <c r="AC69" s="1117">
        <f t="shared" si="3"/>
        <v>24.77</v>
      </c>
      <c r="AD69" s="1118">
        <f t="shared" si="4"/>
        <v>24.77</v>
      </c>
      <c r="AE69" s="1066">
        <f t="shared" si="15"/>
        <v>1314110</v>
      </c>
      <c r="AF69" s="1119">
        <v>0.02</v>
      </c>
      <c r="AG69" s="1067">
        <v>2209091</v>
      </c>
      <c r="AH69" s="1067">
        <v>0</v>
      </c>
      <c r="AI69" s="1120">
        <f t="shared" si="16"/>
        <v>2209091</v>
      </c>
      <c r="AJ69" s="1066">
        <v>112897950</v>
      </c>
      <c r="AK69" s="1066">
        <f t="shared" si="19"/>
        <v>110454550</v>
      </c>
      <c r="AL69" s="1121">
        <f t="shared" si="17"/>
        <v>-2.1642554182781885E-2</v>
      </c>
      <c r="AM69" s="1122">
        <f t="shared" si="18"/>
        <v>110454550</v>
      </c>
      <c r="AN69" s="1123">
        <f t="shared" si="6"/>
        <v>0.02</v>
      </c>
      <c r="AO69" s="1123">
        <f t="shared" si="7"/>
        <v>0</v>
      </c>
      <c r="AP69" s="1066">
        <v>97642.5</v>
      </c>
      <c r="AQ69" s="1066">
        <f t="shared" si="8"/>
        <v>3620843.5</v>
      </c>
      <c r="AR69" s="1066">
        <f>ROUND(AQ69/'Table 3 Levels 1&amp;2'!C69,2)</f>
        <v>1706.34</v>
      </c>
    </row>
    <row r="70" spans="1:44">
      <c r="A70" s="1062">
        <v>63</v>
      </c>
      <c r="B70" s="448" t="s">
        <v>237</v>
      </c>
      <c r="C70" s="390">
        <v>290259199</v>
      </c>
      <c r="D70" s="390">
        <v>16406199</v>
      </c>
      <c r="E70" s="390">
        <f t="shared" si="9"/>
        <v>273853000</v>
      </c>
      <c r="F70" s="390">
        <v>282412321</v>
      </c>
      <c r="G70" s="1109">
        <f t="shared" si="10"/>
        <v>-3.0307888018809209E-2</v>
      </c>
      <c r="H70" s="1110">
        <f t="shared" si="1"/>
        <v>273853000</v>
      </c>
      <c r="I70" s="1111">
        <v>4.46</v>
      </c>
      <c r="J70" s="1112">
        <v>1173597</v>
      </c>
      <c r="K70" s="1111">
        <v>18.5</v>
      </c>
      <c r="L70" s="1112">
        <v>4835507</v>
      </c>
      <c r="M70" s="1113">
        <v>0</v>
      </c>
      <c r="N70" s="1113">
        <v>0</v>
      </c>
      <c r="O70" s="1113">
        <v>0</v>
      </c>
      <c r="P70" s="1112">
        <v>0</v>
      </c>
      <c r="Q70" s="1066">
        <f t="shared" si="11"/>
        <v>6009104</v>
      </c>
      <c r="R70" s="1113">
        <v>4</v>
      </c>
      <c r="S70" s="1112">
        <v>1046879</v>
      </c>
      <c r="T70" s="1113">
        <v>0</v>
      </c>
      <c r="U70" s="1113">
        <v>0</v>
      </c>
      <c r="V70" s="1113">
        <v>0</v>
      </c>
      <c r="W70" s="1112">
        <v>0</v>
      </c>
      <c r="X70" s="390">
        <f t="shared" si="12"/>
        <v>1046879</v>
      </c>
      <c r="Y70" s="1115">
        <f t="shared" si="13"/>
        <v>26.96</v>
      </c>
      <c r="Z70" s="390">
        <f t="shared" si="13"/>
        <v>7055983</v>
      </c>
      <c r="AA70" s="390">
        <f t="shared" si="14"/>
        <v>0</v>
      </c>
      <c r="AB70" s="1116">
        <f t="shared" si="2"/>
        <v>3.82</v>
      </c>
      <c r="AC70" s="1117">
        <f t="shared" si="3"/>
        <v>21.94</v>
      </c>
      <c r="AD70" s="1118">
        <f t="shared" si="4"/>
        <v>25.77</v>
      </c>
      <c r="AE70" s="1066">
        <f t="shared" si="15"/>
        <v>7055983</v>
      </c>
      <c r="AF70" s="1119">
        <v>0.02</v>
      </c>
      <c r="AG70" s="1067">
        <v>3956702</v>
      </c>
      <c r="AH70" s="1067">
        <v>0</v>
      </c>
      <c r="AI70" s="1120">
        <f t="shared" si="16"/>
        <v>3956702</v>
      </c>
      <c r="AJ70" s="1066">
        <v>172693650</v>
      </c>
      <c r="AK70" s="1066">
        <f t="shared" si="19"/>
        <v>197835100</v>
      </c>
      <c r="AL70" s="1121">
        <f t="shared" si="17"/>
        <v>0.1455841022527464</v>
      </c>
      <c r="AM70" s="1122">
        <f t="shared" si="18"/>
        <v>197835100</v>
      </c>
      <c r="AN70" s="1123">
        <f t="shared" si="6"/>
        <v>0.02</v>
      </c>
      <c r="AO70" s="1123">
        <f t="shared" si="7"/>
        <v>0</v>
      </c>
      <c r="AP70" s="1066">
        <v>55182.5</v>
      </c>
      <c r="AQ70" s="1066">
        <f t="shared" si="8"/>
        <v>11067867.5</v>
      </c>
      <c r="AR70" s="1066">
        <f>ROUND(AQ70/'Table 3 Levels 1&amp;2'!C70,2)</f>
        <v>5346.8</v>
      </c>
    </row>
    <row r="71" spans="1:44">
      <c r="A71" s="1062">
        <v>64</v>
      </c>
      <c r="B71" s="448" t="s">
        <v>238</v>
      </c>
      <c r="C71" s="390">
        <v>75088869</v>
      </c>
      <c r="D71" s="390">
        <v>15933275</v>
      </c>
      <c r="E71" s="390">
        <f t="shared" si="9"/>
        <v>59155594</v>
      </c>
      <c r="F71" s="390">
        <v>60780252</v>
      </c>
      <c r="G71" s="1109">
        <f t="shared" si="10"/>
        <v>-2.6730030668513847E-2</v>
      </c>
      <c r="H71" s="1110">
        <f t="shared" si="1"/>
        <v>59155594</v>
      </c>
      <c r="I71" s="1111">
        <v>4.88</v>
      </c>
      <c r="J71" s="1112">
        <v>280630</v>
      </c>
      <c r="K71" s="1111">
        <v>15.64</v>
      </c>
      <c r="L71" s="1112">
        <v>902006</v>
      </c>
      <c r="M71" s="1113">
        <v>3</v>
      </c>
      <c r="N71" s="1113">
        <v>3.12</v>
      </c>
      <c r="O71" s="1113">
        <v>2</v>
      </c>
      <c r="P71" s="1112">
        <v>147083</v>
      </c>
      <c r="Q71" s="1066">
        <f t="shared" si="11"/>
        <v>1329719</v>
      </c>
      <c r="R71" s="1113">
        <v>0</v>
      </c>
      <c r="S71" s="1112">
        <v>0</v>
      </c>
      <c r="T71" s="1113">
        <v>18</v>
      </c>
      <c r="U71" s="1113">
        <v>58</v>
      </c>
      <c r="V71" s="1113">
        <v>4</v>
      </c>
      <c r="W71" s="1112">
        <v>1422199</v>
      </c>
      <c r="X71" s="390">
        <f t="shared" si="12"/>
        <v>1422199</v>
      </c>
      <c r="Y71" s="1115">
        <f t="shared" si="13"/>
        <v>20.52</v>
      </c>
      <c r="Z71" s="390">
        <f t="shared" si="13"/>
        <v>1182636</v>
      </c>
      <c r="AA71" s="390">
        <f t="shared" si="14"/>
        <v>1569282</v>
      </c>
      <c r="AB71" s="1116">
        <f t="shared" si="2"/>
        <v>24.04</v>
      </c>
      <c r="AC71" s="1117">
        <f t="shared" si="3"/>
        <v>22.48</v>
      </c>
      <c r="AD71" s="1118">
        <f t="shared" si="4"/>
        <v>46.52</v>
      </c>
      <c r="AE71" s="1066">
        <f t="shared" si="15"/>
        <v>2751918</v>
      </c>
      <c r="AF71" s="1119">
        <v>0.02</v>
      </c>
      <c r="AG71" s="1067">
        <v>3183820</v>
      </c>
      <c r="AH71" s="1067">
        <v>0</v>
      </c>
      <c r="AI71" s="1120">
        <f t="shared" si="16"/>
        <v>3183820</v>
      </c>
      <c r="AJ71" s="1066">
        <v>171259450</v>
      </c>
      <c r="AK71" s="1066">
        <f t="shared" si="19"/>
        <v>159191000</v>
      </c>
      <c r="AL71" s="1121">
        <f t="shared" si="17"/>
        <v>-7.0468812085989999E-2</v>
      </c>
      <c r="AM71" s="1122">
        <f t="shared" si="18"/>
        <v>159191000</v>
      </c>
      <c r="AN71" s="1123">
        <f t="shared" si="6"/>
        <v>0.02</v>
      </c>
      <c r="AO71" s="1123">
        <f t="shared" si="7"/>
        <v>0</v>
      </c>
      <c r="AP71" s="1066">
        <v>336023</v>
      </c>
      <c r="AQ71" s="1066">
        <f t="shared" si="8"/>
        <v>6271761</v>
      </c>
      <c r="AR71" s="1066">
        <f>ROUND(AQ71/'Table 3 Levels 1&amp;2'!C71,2)</f>
        <v>2582.0300000000002</v>
      </c>
    </row>
    <row r="72" spans="1:44">
      <c r="A72" s="1064">
        <v>65</v>
      </c>
      <c r="B72" s="1124" t="s">
        <v>239</v>
      </c>
      <c r="C72" s="409">
        <v>388537936</v>
      </c>
      <c r="D72" s="409">
        <v>46496768</v>
      </c>
      <c r="E72" s="409">
        <f t="shared" si="9"/>
        <v>342041168</v>
      </c>
      <c r="F72" s="409">
        <v>336070163</v>
      </c>
      <c r="G72" s="1125">
        <f t="shared" si="10"/>
        <v>1.7767138108002761E-2</v>
      </c>
      <c r="H72" s="1126">
        <f t="shared" ref="H72:H76" si="20">IF((E72-F72)/F72&gt;$H$5,F72*(1+$H$5),E72)</f>
        <v>342041168</v>
      </c>
      <c r="I72" s="1127">
        <v>6.95</v>
      </c>
      <c r="J72" s="1128">
        <v>2426657</v>
      </c>
      <c r="K72" s="1127">
        <v>20.21</v>
      </c>
      <c r="L72" s="1128">
        <v>6936868</v>
      </c>
      <c r="M72" s="1129">
        <v>0</v>
      </c>
      <c r="N72" s="1129">
        <v>0</v>
      </c>
      <c r="O72" s="1129">
        <v>0</v>
      </c>
      <c r="P72" s="1128">
        <v>0</v>
      </c>
      <c r="Q72" s="1069">
        <f t="shared" si="11"/>
        <v>9363525</v>
      </c>
      <c r="R72" s="1129">
        <v>14</v>
      </c>
      <c r="S72" s="1128">
        <v>4825615</v>
      </c>
      <c r="T72" s="1129">
        <v>0</v>
      </c>
      <c r="U72" s="1129">
        <v>0</v>
      </c>
      <c r="V72" s="1129">
        <v>0</v>
      </c>
      <c r="W72" s="1128">
        <v>0</v>
      </c>
      <c r="X72" s="409">
        <f t="shared" si="12"/>
        <v>4825615</v>
      </c>
      <c r="Y72" s="1130">
        <f t="shared" si="13"/>
        <v>41.16</v>
      </c>
      <c r="Z72" s="409">
        <f t="shared" si="13"/>
        <v>14189140</v>
      </c>
      <c r="AA72" s="409">
        <f t="shared" si="14"/>
        <v>0</v>
      </c>
      <c r="AB72" s="1131">
        <f t="shared" ref="AB72:AB77" si="21">ROUND((X72/E72)*1000,2)</f>
        <v>14.11</v>
      </c>
      <c r="AC72" s="1132">
        <f t="shared" ref="AC72:AC77" si="22">ROUND((Q72/E72)*1000,2)</f>
        <v>27.38</v>
      </c>
      <c r="AD72" s="1133">
        <f t="shared" ref="AD72:AD77" si="23">ROUND((AE72/E72)*1000,2)</f>
        <v>41.48</v>
      </c>
      <c r="AE72" s="1069">
        <f t="shared" si="15"/>
        <v>14189140</v>
      </c>
      <c r="AF72" s="1134">
        <v>0.02</v>
      </c>
      <c r="AG72" s="1070">
        <v>24029279</v>
      </c>
      <c r="AH72" s="1070">
        <v>0</v>
      </c>
      <c r="AI72" s="1135">
        <f t="shared" si="16"/>
        <v>24029279</v>
      </c>
      <c r="AJ72" s="1069">
        <v>1234748350</v>
      </c>
      <c r="AK72" s="1069">
        <f t="shared" si="19"/>
        <v>1201463950</v>
      </c>
      <c r="AL72" s="1136">
        <f t="shared" si="17"/>
        <v>-2.6956423954727294E-2</v>
      </c>
      <c r="AM72" s="1137">
        <f t="shared" si="18"/>
        <v>1201463950</v>
      </c>
      <c r="AN72" s="1138">
        <f t="shared" ref="AN72:AN76" si="24">AG72/AK72</f>
        <v>0.02</v>
      </c>
      <c r="AO72" s="1138">
        <f t="shared" ref="AO72:AO76" si="25">AH72/AK72</f>
        <v>0</v>
      </c>
      <c r="AP72" s="1069">
        <v>298850</v>
      </c>
      <c r="AQ72" s="1069">
        <f>AP72+AE72+AI72</f>
        <v>38517269</v>
      </c>
      <c r="AR72" s="1069">
        <f>ROUND(AQ72/'Table 3 Levels 1&amp;2'!C72,2)</f>
        <v>4565.82</v>
      </c>
    </row>
    <row r="73" spans="1:44">
      <c r="A73" s="1062">
        <v>66</v>
      </c>
      <c r="B73" s="448" t="s">
        <v>240</v>
      </c>
      <c r="C73" s="1066">
        <v>94144570</v>
      </c>
      <c r="D73" s="1066">
        <v>21105840</v>
      </c>
      <c r="E73" s="390">
        <f>C73-D73</f>
        <v>73038730</v>
      </c>
      <c r="F73" s="1066">
        <v>73080945</v>
      </c>
      <c r="G73" s="1109">
        <f>(E73-F73)/F73</f>
        <v>-5.7764715549313164E-4</v>
      </c>
      <c r="H73" s="1110">
        <f t="shared" si="20"/>
        <v>73038730</v>
      </c>
      <c r="I73" s="1111">
        <v>6.44</v>
      </c>
      <c r="J73" s="1112">
        <v>474630</v>
      </c>
      <c r="K73" s="1111">
        <v>56.37</v>
      </c>
      <c r="L73" s="1112">
        <v>3944941</v>
      </c>
      <c r="M73" s="1113">
        <v>0</v>
      </c>
      <c r="N73" s="1113">
        <v>0</v>
      </c>
      <c r="O73" s="1113">
        <v>0</v>
      </c>
      <c r="P73" s="1112">
        <v>0</v>
      </c>
      <c r="Q73" s="1066">
        <f>J73+L73+P73</f>
        <v>4419571</v>
      </c>
      <c r="R73" s="1113">
        <v>0</v>
      </c>
      <c r="S73" s="1112">
        <v>0</v>
      </c>
      <c r="T73" s="1113">
        <v>0</v>
      </c>
      <c r="U73" s="1113">
        <v>0</v>
      </c>
      <c r="V73" s="1113">
        <v>0</v>
      </c>
      <c r="W73" s="1112">
        <v>0</v>
      </c>
      <c r="X73" s="1066">
        <f>S73+W73</f>
        <v>0</v>
      </c>
      <c r="Y73" s="1145">
        <f t="shared" ref="Y73:Z75" si="26">I73+K73+R73</f>
        <v>62.809999999999995</v>
      </c>
      <c r="Z73" s="1066">
        <f t="shared" si="26"/>
        <v>4419571</v>
      </c>
      <c r="AA73" s="1066">
        <f>P73+W73</f>
        <v>0</v>
      </c>
      <c r="AB73" s="1146">
        <f t="shared" si="21"/>
        <v>0</v>
      </c>
      <c r="AC73" s="1147">
        <f t="shared" si="22"/>
        <v>60.51</v>
      </c>
      <c r="AD73" s="1118">
        <f t="shared" si="23"/>
        <v>60.51</v>
      </c>
      <c r="AE73" s="1066">
        <f>X73+Q73</f>
        <v>4419571</v>
      </c>
      <c r="AF73" s="1119">
        <v>0.01</v>
      </c>
      <c r="AG73" s="1067">
        <v>2334972</v>
      </c>
      <c r="AH73" s="1067">
        <v>0</v>
      </c>
      <c r="AI73" s="1120">
        <f>AG73+AH73</f>
        <v>2334972</v>
      </c>
      <c r="AJ73" s="1066">
        <v>241631100</v>
      </c>
      <c r="AK73" s="1066">
        <f t="shared" si="19"/>
        <v>233497200</v>
      </c>
      <c r="AL73" s="1121">
        <f>(AK73-AJ73)/AJ73</f>
        <v>-3.3662471428553692E-2</v>
      </c>
      <c r="AM73" s="1122">
        <f>IF((AK73-AJ73)/AJ73&gt;$AM$5,AJ73*(1+$AM$5),AK73)</f>
        <v>233497200</v>
      </c>
      <c r="AN73" s="1123">
        <f t="shared" si="24"/>
        <v>0.01</v>
      </c>
      <c r="AO73" s="1123">
        <f t="shared" si="25"/>
        <v>0</v>
      </c>
      <c r="AP73" s="1066">
        <v>214245</v>
      </c>
      <c r="AQ73" s="1066">
        <f>AP73+AE73+AI73</f>
        <v>6968788</v>
      </c>
      <c r="AR73" s="1066">
        <f>ROUND(AQ73/'Table 3 Levels 1&amp;2'!C73,2)</f>
        <v>3374.72</v>
      </c>
    </row>
    <row r="74" spans="1:44" s="616" customFormat="1">
      <c r="A74" s="379">
        <v>67</v>
      </c>
      <c r="B74" s="1144" t="s">
        <v>241</v>
      </c>
      <c r="C74" s="1066">
        <v>220913210</v>
      </c>
      <c r="D74" s="1068">
        <v>36647600</v>
      </c>
      <c r="E74" s="390">
        <f>C74-D74</f>
        <v>184265610</v>
      </c>
      <c r="F74" s="1068">
        <v>169624780</v>
      </c>
      <c r="G74" s="1157">
        <f>(E74-F74)/F74</f>
        <v>8.6313037517277841E-2</v>
      </c>
      <c r="H74" s="1110">
        <f t="shared" si="20"/>
        <v>184265610</v>
      </c>
      <c r="I74" s="1145">
        <v>5</v>
      </c>
      <c r="J74" s="1066">
        <v>865129</v>
      </c>
      <c r="K74" s="1145">
        <v>38.200000000000003</v>
      </c>
      <c r="L74" s="1066">
        <v>6609770</v>
      </c>
      <c r="M74" s="1158">
        <v>0</v>
      </c>
      <c r="N74" s="1158">
        <v>0</v>
      </c>
      <c r="O74" s="380">
        <v>1</v>
      </c>
      <c r="P74" s="1066">
        <v>0</v>
      </c>
      <c r="Q74" s="1066">
        <f>J74+L74+P74</f>
        <v>7474899</v>
      </c>
      <c r="R74" s="1158">
        <v>36</v>
      </c>
      <c r="S74" s="1066">
        <v>6228740</v>
      </c>
      <c r="T74" s="1158">
        <v>0</v>
      </c>
      <c r="U74" s="1158">
        <v>0</v>
      </c>
      <c r="V74" s="380">
        <v>1</v>
      </c>
      <c r="W74" s="1066">
        <v>0</v>
      </c>
      <c r="X74" s="1066">
        <f>S74+W74</f>
        <v>6228740</v>
      </c>
      <c r="Y74" s="1145">
        <f t="shared" si="26"/>
        <v>79.2</v>
      </c>
      <c r="Z74" s="1066">
        <f t="shared" si="26"/>
        <v>13703639</v>
      </c>
      <c r="AA74" s="1066">
        <f>P74+W74</f>
        <v>0</v>
      </c>
      <c r="AB74" s="1146">
        <f t="shared" si="21"/>
        <v>33.799999999999997</v>
      </c>
      <c r="AC74" s="1147">
        <f t="shared" si="22"/>
        <v>40.57</v>
      </c>
      <c r="AD74" s="1118">
        <f t="shared" si="23"/>
        <v>74.37</v>
      </c>
      <c r="AE74" s="1066">
        <f>X74+Q74</f>
        <v>13703639</v>
      </c>
      <c r="AF74" s="1119">
        <v>0.02</v>
      </c>
      <c r="AG74" s="1067">
        <v>7639687</v>
      </c>
      <c r="AH74" s="1067">
        <v>0</v>
      </c>
      <c r="AI74" s="1120">
        <f>AG74+AH74</f>
        <v>7639687</v>
      </c>
      <c r="AJ74" s="1066">
        <v>413038550</v>
      </c>
      <c r="AK74" s="1066">
        <f t="shared" si="19"/>
        <v>381984350</v>
      </c>
      <c r="AL74" s="1121">
        <f>(AK74-AJ74)/AJ74</f>
        <v>-7.518474970435568E-2</v>
      </c>
      <c r="AM74" s="1122">
        <f>IF((AK74-AJ74)/AJ74&gt;$AM$5,AJ74*(1+$AM$5),AK74)</f>
        <v>381984350</v>
      </c>
      <c r="AN74" s="1123">
        <f t="shared" si="24"/>
        <v>0.02</v>
      </c>
      <c r="AO74" s="1123">
        <f t="shared" si="25"/>
        <v>0</v>
      </c>
      <c r="AP74" s="1066">
        <v>80224</v>
      </c>
      <c r="AQ74" s="1066">
        <f>AP74+AE74+AI74</f>
        <v>21423550</v>
      </c>
      <c r="AR74" s="1066">
        <f>ROUND(AQ74/'Table 3 Levels 1&amp;2'!C74,2)</f>
        <v>4399.09</v>
      </c>
    </row>
    <row r="75" spans="1:44" s="616" customFormat="1">
      <c r="A75" s="379">
        <v>68</v>
      </c>
      <c r="B75" s="1144" t="s">
        <v>242</v>
      </c>
      <c r="C75" s="1066">
        <v>67472030</v>
      </c>
      <c r="D75" s="1068">
        <v>21026800</v>
      </c>
      <c r="E75" s="1068">
        <f>C75-D75</f>
        <v>46445230</v>
      </c>
      <c r="F75" s="1068">
        <v>46462740</v>
      </c>
      <c r="G75" s="1157">
        <f>(E75-F75)/F75</f>
        <v>-3.768611149493121E-4</v>
      </c>
      <c r="H75" s="1110">
        <f t="shared" si="20"/>
        <v>46445230</v>
      </c>
      <c r="I75" s="1145">
        <v>5</v>
      </c>
      <c r="J75" s="1066">
        <v>220707</v>
      </c>
      <c r="K75" s="1145">
        <v>38.200000000000003</v>
      </c>
      <c r="L75" s="1066">
        <v>1686201</v>
      </c>
      <c r="M75" s="1158">
        <v>0</v>
      </c>
      <c r="N75" s="1158">
        <v>0</v>
      </c>
      <c r="O75" s="380">
        <v>1</v>
      </c>
      <c r="P75" s="1066">
        <v>0</v>
      </c>
      <c r="Q75" s="1066">
        <f>J75+L75+P75</f>
        <v>1906908</v>
      </c>
      <c r="R75" s="1158">
        <v>0</v>
      </c>
      <c r="S75" s="1066">
        <v>0</v>
      </c>
      <c r="T75" s="1158">
        <v>0</v>
      </c>
      <c r="U75" s="1158">
        <v>0</v>
      </c>
      <c r="V75" s="380">
        <v>1</v>
      </c>
      <c r="W75" s="1066">
        <v>0</v>
      </c>
      <c r="X75" s="1066">
        <f>S75+W75</f>
        <v>0</v>
      </c>
      <c r="Y75" s="1145">
        <f t="shared" si="26"/>
        <v>43.2</v>
      </c>
      <c r="Z75" s="1066">
        <f t="shared" si="26"/>
        <v>1906908</v>
      </c>
      <c r="AA75" s="1066">
        <f>P75+W75</f>
        <v>0</v>
      </c>
      <c r="AB75" s="1146">
        <f t="shared" si="21"/>
        <v>0</v>
      </c>
      <c r="AC75" s="1147">
        <f t="shared" si="22"/>
        <v>41.06</v>
      </c>
      <c r="AD75" s="1118">
        <f t="shared" si="23"/>
        <v>41.06</v>
      </c>
      <c r="AE75" s="1066">
        <f>X75+Q75</f>
        <v>1906908</v>
      </c>
      <c r="AF75" s="1119">
        <v>0.02</v>
      </c>
      <c r="AG75" s="1067">
        <v>3009702</v>
      </c>
      <c r="AH75" s="1067">
        <v>0</v>
      </c>
      <c r="AI75" s="1120">
        <f>AG75+AH75</f>
        <v>3009702</v>
      </c>
      <c r="AJ75" s="1066">
        <v>165234200</v>
      </c>
      <c r="AK75" s="1066">
        <f t="shared" si="19"/>
        <v>150485100</v>
      </c>
      <c r="AL75" s="1121">
        <f>(AK75-AJ75)/AJ75</f>
        <v>-8.9261787208701343E-2</v>
      </c>
      <c r="AM75" s="1122">
        <f>IF((AK75-AJ75)/AJ75&gt;$AM$5,AJ75*(1+$AM$5),AK75)</f>
        <v>150485100</v>
      </c>
      <c r="AN75" s="1123">
        <f t="shared" si="24"/>
        <v>0.02</v>
      </c>
      <c r="AO75" s="1123">
        <f t="shared" si="25"/>
        <v>0</v>
      </c>
      <c r="AP75" s="1066">
        <v>46029</v>
      </c>
      <c r="AQ75" s="1066">
        <f>AP75+AE75+AI75</f>
        <v>4962639</v>
      </c>
      <c r="AR75" s="1066">
        <f>ROUND(AQ75/'Table 3 Levels 1&amp;2'!C75,2)</f>
        <v>2752.43</v>
      </c>
    </row>
    <row r="76" spans="1:44" s="441" customFormat="1">
      <c r="A76" s="379">
        <v>69</v>
      </c>
      <c r="B76" s="1144" t="s">
        <v>243</v>
      </c>
      <c r="C76" s="1066">
        <v>162345880</v>
      </c>
      <c r="D76" s="1068">
        <v>61065950</v>
      </c>
      <c r="E76" s="1068">
        <f>C76-D76</f>
        <v>101279930</v>
      </c>
      <c r="F76" s="1068">
        <v>95315750</v>
      </c>
      <c r="G76" s="1157">
        <f>(E76-F76)/F76</f>
        <v>6.2572869646412052E-2</v>
      </c>
      <c r="H76" s="1110">
        <f t="shared" si="20"/>
        <v>101279930</v>
      </c>
      <c r="I76" s="1145">
        <v>4.58</v>
      </c>
      <c r="J76" s="1066">
        <f>465495-10614</f>
        <v>454881</v>
      </c>
      <c r="K76" s="1145">
        <v>35.21</v>
      </c>
      <c r="L76" s="1066">
        <f>3578619-81596</f>
        <v>3497023</v>
      </c>
      <c r="M76" s="1158">
        <v>0</v>
      </c>
      <c r="N76" s="1158">
        <v>0</v>
      </c>
      <c r="O76" s="380">
        <v>7</v>
      </c>
      <c r="P76" s="1066">
        <v>0</v>
      </c>
      <c r="Q76" s="1159">
        <f>J76+L76+P76</f>
        <v>3951904</v>
      </c>
      <c r="R76" s="1158">
        <v>9.25</v>
      </c>
      <c r="S76" s="1066">
        <f>921425-2363</f>
        <v>919062</v>
      </c>
      <c r="T76" s="1158">
        <v>0</v>
      </c>
      <c r="U76" s="1158">
        <v>0</v>
      </c>
      <c r="V76" s="380">
        <v>7</v>
      </c>
      <c r="W76" s="1066">
        <v>0</v>
      </c>
      <c r="X76" s="1159">
        <f>S76+W76</f>
        <v>919062</v>
      </c>
      <c r="Y76" s="1145">
        <f>I76+K76+R76</f>
        <v>49.04</v>
      </c>
      <c r="Z76" s="1066">
        <f>J76+L76+S76</f>
        <v>4870966</v>
      </c>
      <c r="AA76" s="1066">
        <f>P76+W76</f>
        <v>0</v>
      </c>
      <c r="AB76" s="1160">
        <f t="shared" si="21"/>
        <v>9.07</v>
      </c>
      <c r="AC76" s="1161">
        <f t="shared" si="22"/>
        <v>39.020000000000003</v>
      </c>
      <c r="AD76" s="1162">
        <f t="shared" si="23"/>
        <v>48.09</v>
      </c>
      <c r="AE76" s="1066">
        <f>X76+Q76</f>
        <v>4870966</v>
      </c>
      <c r="AF76" s="1119">
        <v>2.5000000000000001E-2</v>
      </c>
      <c r="AG76" s="1067">
        <v>5415813</v>
      </c>
      <c r="AH76" s="1067">
        <v>1353953</v>
      </c>
      <c r="AI76" s="1120">
        <f>AG76+AH76</f>
        <v>6769766</v>
      </c>
      <c r="AJ76" s="1066">
        <v>266193400</v>
      </c>
      <c r="AK76" s="1066">
        <f t="shared" si="19"/>
        <v>270790640</v>
      </c>
      <c r="AL76" s="1121">
        <f>(AK76-AJ76)/AJ76</f>
        <v>1.7270300465751592E-2</v>
      </c>
      <c r="AM76" s="1122">
        <f>IF((AK76-AJ76)/AJ76&gt;$AM$5,AJ76*(1+$AM$5),AK76)</f>
        <v>270790640</v>
      </c>
      <c r="AN76" s="1123">
        <f t="shared" si="24"/>
        <v>2.0000000738577967E-2</v>
      </c>
      <c r="AO76" s="1123">
        <f t="shared" si="25"/>
        <v>4.999999261422034E-3</v>
      </c>
      <c r="AP76" s="1066">
        <v>0</v>
      </c>
      <c r="AQ76" s="1066">
        <f>AP76+AE76+AI76</f>
        <v>11640732</v>
      </c>
      <c r="AR76" s="1066">
        <f>ROUND(AQ76/'Table 3 Levels 1&amp;2'!C76,2)</f>
        <v>2991.71</v>
      </c>
    </row>
    <row r="77" spans="1:44" s="252" customFormat="1" ht="13.5" thickBot="1">
      <c r="A77" s="1163"/>
      <c r="B77" s="1164" t="s">
        <v>369</v>
      </c>
      <c r="C77" s="1165">
        <f>SUM(C8:C76)</f>
        <v>38117904205</v>
      </c>
      <c r="D77" s="1165">
        <f>SUM(D8:D76)</f>
        <v>6693279890</v>
      </c>
      <c r="E77" s="1165">
        <f>SUM(E8:E76)</f>
        <v>31424624315</v>
      </c>
      <c r="F77" s="1166">
        <f>SUM(F8:F76)</f>
        <v>29831460177</v>
      </c>
      <c r="G77" s="1167">
        <f>(E77-F77)/F77</f>
        <v>5.3405503067809147E-2</v>
      </c>
      <c r="H77" s="1168">
        <f>SUM(H8:H76)</f>
        <v>31212491447.999992</v>
      </c>
      <c r="I77" s="1169">
        <v>5.0199999999999996</v>
      </c>
      <c r="J77" s="1165">
        <f>SUM(J8:J76)</f>
        <v>195251721</v>
      </c>
      <c r="K77" s="1170">
        <v>23.79</v>
      </c>
      <c r="L77" s="1165">
        <f>SUM(L8:L76)</f>
        <v>821710231</v>
      </c>
      <c r="M77" s="1170">
        <v>0</v>
      </c>
      <c r="N77" s="1170">
        <v>89.78</v>
      </c>
      <c r="O77" s="1170">
        <f>SUM(O8:O76)</f>
        <v>116</v>
      </c>
      <c r="P77" s="1165">
        <f>SUM(P8:P76)</f>
        <v>29330263</v>
      </c>
      <c r="Q77" s="1165">
        <f>SUM(Q8:Q76)</f>
        <v>1046292215</v>
      </c>
      <c r="R77" s="1171">
        <v>5.03</v>
      </c>
      <c r="S77" s="1172">
        <f>SUM(S8:S76)</f>
        <v>140374341</v>
      </c>
      <c r="T77" s="1171">
        <v>0</v>
      </c>
      <c r="U77" s="1171">
        <v>58</v>
      </c>
      <c r="V77" s="1171">
        <f>SUM(V8:V76)</f>
        <v>147</v>
      </c>
      <c r="W77" s="1172">
        <f>SUM(W8:W76)</f>
        <v>86065649</v>
      </c>
      <c r="X77" s="1165">
        <f>SUM(X8:X76)</f>
        <v>226439990</v>
      </c>
      <c r="Y77" s="1170"/>
      <c r="Z77" s="1165">
        <f>SUM(Z8:Z76)</f>
        <v>1157336293</v>
      </c>
      <c r="AA77" s="1165">
        <f>SUM(AA8:AA76)</f>
        <v>115395912</v>
      </c>
      <c r="AB77" s="1173">
        <f t="shared" si="21"/>
        <v>7.21</v>
      </c>
      <c r="AC77" s="1174">
        <f t="shared" si="22"/>
        <v>33.299999999999997</v>
      </c>
      <c r="AD77" s="1175">
        <f t="shared" si="23"/>
        <v>40.5</v>
      </c>
      <c r="AE77" s="1165">
        <f>SUM(AE8:AE76)</f>
        <v>1272732205</v>
      </c>
      <c r="AF77" s="1176">
        <f>ROUND(AI77/AK77,4)</f>
        <v>1.9800000000000002E-2</v>
      </c>
      <c r="AG77" s="1177">
        <f>SUM(AG8:AG76)</f>
        <v>1504232364</v>
      </c>
      <c r="AH77" s="1177">
        <f>SUM(AH8:AH76)</f>
        <v>40455682</v>
      </c>
      <c r="AI77" s="1166">
        <f>SUM(AI8:AI76)</f>
        <v>1545304410</v>
      </c>
      <c r="AJ77" s="1166">
        <f>SUM(AJ8:AJ76)</f>
        <v>81494746492</v>
      </c>
      <c r="AK77" s="1166">
        <f>SUM(AK8:AK76)</f>
        <v>78125864792</v>
      </c>
      <c r="AL77" s="1178">
        <f>(AK77-AJ77)/AJ77</f>
        <v>-4.1338636476778406E-2</v>
      </c>
      <c r="AM77" s="1166">
        <f>SUM(AM8:AM76)</f>
        <v>76483527246.550003</v>
      </c>
      <c r="AN77" s="1179">
        <f>ROUND(AG77/$AK77,4)</f>
        <v>1.9300000000000001E-2</v>
      </c>
      <c r="AO77" s="1179">
        <f>ROUND(AH77/$AK77,4)</f>
        <v>5.0000000000000001E-4</v>
      </c>
      <c r="AP77" s="1172">
        <f>SUM(AP8:AP76)</f>
        <v>37956700.5</v>
      </c>
      <c r="AQ77" s="1165">
        <f>SUM(AQ8:AQ76)</f>
        <v>2855993315.5</v>
      </c>
      <c r="AR77" s="1165">
        <f>ROUND(AQ77/'Table 3 Levels 1&amp;2'!C77,2)</f>
        <v>4317.34</v>
      </c>
    </row>
    <row r="78" spans="1:44" s="1478" customFormat="1" ht="13.5" hidden="1" thickTop="1">
      <c r="I78" s="1555"/>
      <c r="AF78" s="1556"/>
      <c r="AG78" s="1554"/>
      <c r="AH78" s="1554"/>
      <c r="AI78" s="1538" t="s">
        <v>898</v>
      </c>
    </row>
    <row r="79" spans="1:44" s="1478" customFormat="1" hidden="1">
      <c r="D79" s="1557"/>
      <c r="J79" s="1558" t="s">
        <v>899</v>
      </c>
      <c r="L79" s="1558" t="s">
        <v>900</v>
      </c>
      <c r="Q79" s="1479">
        <f>J77+L77+P77</f>
        <v>1046292215</v>
      </c>
      <c r="S79" s="1558" t="s">
        <v>901</v>
      </c>
      <c r="X79" s="1479">
        <f>S77+W77</f>
        <v>226439990</v>
      </c>
      <c r="AF79" s="1559"/>
      <c r="AG79" s="1560" t="s">
        <v>902</v>
      </c>
      <c r="AH79" s="1554"/>
      <c r="AI79" s="1561" t="s">
        <v>903</v>
      </c>
      <c r="AO79" s="1554"/>
    </row>
    <row r="80" spans="1:44" s="1478" customFormat="1" hidden="1">
      <c r="E80" s="1479"/>
      <c r="J80" s="1562"/>
      <c r="AD80" s="1563"/>
      <c r="AF80" s="1559"/>
      <c r="AG80" s="1554"/>
      <c r="AH80" s="1554"/>
      <c r="AI80" s="1538" t="s">
        <v>904</v>
      </c>
      <c r="AJ80" s="1564"/>
      <c r="AK80" s="1564"/>
      <c r="AL80" s="1564"/>
      <c r="AM80" s="1564"/>
      <c r="AQ80" s="1564"/>
    </row>
    <row r="81" spans="1:45" s="1555" customFormat="1" hidden="1">
      <c r="A81" s="1565"/>
      <c r="B81" s="1566"/>
      <c r="C81" s="1478"/>
      <c r="D81" s="1478"/>
      <c r="E81" s="1478"/>
      <c r="F81" s="1478"/>
      <c r="G81" s="1478"/>
      <c r="H81" s="1478"/>
      <c r="I81" s="1478"/>
      <c r="J81" s="1558"/>
      <c r="K81" s="1478"/>
      <c r="L81" s="1478"/>
      <c r="M81" s="1478"/>
      <c r="N81" s="1478"/>
      <c r="O81" s="1478"/>
      <c r="P81" s="1478"/>
      <c r="Q81" s="1478"/>
      <c r="R81" s="1478"/>
      <c r="S81" s="1478"/>
      <c r="T81" s="1478"/>
      <c r="U81" s="1478"/>
      <c r="V81" s="1478"/>
      <c r="W81" s="1478"/>
      <c r="X81" s="1478"/>
      <c r="Y81" s="1478"/>
      <c r="Z81" s="1478"/>
      <c r="AA81" s="1478"/>
      <c r="AB81" s="1478"/>
      <c r="AC81" s="1478"/>
      <c r="AD81" s="1478"/>
      <c r="AE81" s="1499"/>
      <c r="AF81" s="1567"/>
      <c r="AG81" s="1568"/>
      <c r="AH81" s="1568"/>
      <c r="AI81" s="1569">
        <f>AG77+AH77</f>
        <v>1544688046</v>
      </c>
      <c r="AJ81" s="1492"/>
      <c r="AK81" s="1492"/>
      <c r="AL81" s="1567"/>
      <c r="AM81" s="1492"/>
      <c r="AN81" s="1568"/>
      <c r="AO81" s="1568"/>
      <c r="AP81" s="1492"/>
      <c r="AQ81" s="1492"/>
      <c r="AR81" s="1492"/>
      <c r="AS81" s="1488"/>
    </row>
    <row r="82" spans="1:45" s="1478" customFormat="1" hidden="1">
      <c r="AE82" s="1499"/>
      <c r="AF82" s="1499"/>
      <c r="AG82" s="1570"/>
      <c r="AH82" s="1499"/>
      <c r="AI82" s="1570">
        <f>AI77-AI81</f>
        <v>616364</v>
      </c>
      <c r="AJ82" s="1499"/>
      <c r="AK82" s="1499"/>
      <c r="AL82" s="1499"/>
      <c r="AM82" s="1571"/>
      <c r="AN82" s="1499"/>
      <c r="AO82" s="1499"/>
      <c r="AP82" s="1499"/>
      <c r="AQ82" s="1499"/>
      <c r="AR82" s="1499"/>
      <c r="AS82" s="1499"/>
    </row>
    <row r="83" spans="1:45" s="1478" customFormat="1" hidden="1">
      <c r="AE83" s="1499"/>
      <c r="AF83" s="1499"/>
      <c r="AG83" s="1570"/>
      <c r="AH83" s="1499"/>
      <c r="AI83" s="1570"/>
      <c r="AJ83" s="1499"/>
      <c r="AK83" s="1499"/>
      <c r="AL83" s="1499"/>
      <c r="AM83" s="1572"/>
      <c r="AN83" s="1499"/>
      <c r="AO83" s="1499"/>
      <c r="AP83" s="1499"/>
      <c r="AQ83" s="1499"/>
      <c r="AR83" s="1499"/>
      <c r="AS83" s="1499"/>
    </row>
    <row r="84" spans="1:45" ht="13.5" thickTop="1">
      <c r="AE84" s="4"/>
      <c r="AF84" s="4"/>
      <c r="AG84" s="4"/>
      <c r="AH84" s="4"/>
      <c r="AI84" s="4"/>
      <c r="AJ84" s="4"/>
      <c r="AK84" s="4"/>
      <c r="AL84" s="4"/>
      <c r="AM84" s="4"/>
      <c r="AN84" s="4"/>
      <c r="AO84" s="4"/>
      <c r="AP84" s="4"/>
      <c r="AQ84" s="4"/>
      <c r="AR84" s="4"/>
      <c r="AS84" s="4"/>
    </row>
    <row r="85" spans="1:45">
      <c r="AE85" s="4"/>
      <c r="AF85" s="4"/>
      <c r="AG85" s="4"/>
      <c r="AH85" s="4"/>
      <c r="AI85" s="4"/>
      <c r="AJ85" s="4"/>
      <c r="AK85" s="4"/>
      <c r="AL85" s="4"/>
      <c r="AM85" s="4"/>
      <c r="AN85" s="4"/>
      <c r="AO85" s="4"/>
      <c r="AP85" s="4"/>
      <c r="AQ85" s="4"/>
      <c r="AR85" s="4"/>
      <c r="AS85" s="4"/>
    </row>
    <row r="86" spans="1:45">
      <c r="AE86" s="4"/>
      <c r="AF86" s="4"/>
      <c r="AG86" s="4"/>
      <c r="AH86" s="4"/>
      <c r="AI86" s="4"/>
      <c r="AJ86" s="4"/>
      <c r="AK86" s="4"/>
      <c r="AL86" s="4"/>
      <c r="AM86" s="4"/>
      <c r="AN86" s="4"/>
      <c r="AO86" s="4"/>
      <c r="AP86" s="4"/>
      <c r="AQ86" s="4"/>
      <c r="AR86" s="4"/>
      <c r="AS86" s="4"/>
    </row>
  </sheetData>
  <mergeCells count="50">
    <mergeCell ref="K3:P3"/>
    <mergeCell ref="I4:I5"/>
    <mergeCell ref="J4:J5"/>
    <mergeCell ref="K4:K5"/>
    <mergeCell ref="L4:L5"/>
    <mergeCell ref="C2:D2"/>
    <mergeCell ref="A3:A5"/>
    <mergeCell ref="B3:B5"/>
    <mergeCell ref="C3:H3"/>
    <mergeCell ref="I3:J3"/>
    <mergeCell ref="AP3:AP5"/>
    <mergeCell ref="AQ3:AQ5"/>
    <mergeCell ref="AR3:AR5"/>
    <mergeCell ref="C4:C5"/>
    <mergeCell ref="D4:D5"/>
    <mergeCell ref="E4:E5"/>
    <mergeCell ref="F4:F5"/>
    <mergeCell ref="G4:G5"/>
    <mergeCell ref="Q3:Q5"/>
    <mergeCell ref="R3:W3"/>
    <mergeCell ref="X3:X5"/>
    <mergeCell ref="Y3:AD3"/>
    <mergeCell ref="AE3:AE5"/>
    <mergeCell ref="AF3:AH3"/>
    <mergeCell ref="T4:T5"/>
    <mergeCell ref="U4:U5"/>
    <mergeCell ref="AD4:AD5"/>
    <mergeCell ref="M4:M5"/>
    <mergeCell ref="N4:N5"/>
    <mergeCell ref="O4:O5"/>
    <mergeCell ref="P4:P5"/>
    <mergeCell ref="R4:R5"/>
    <mergeCell ref="S4:S5"/>
    <mergeCell ref="V4:V5"/>
    <mergeCell ref="W4:W5"/>
    <mergeCell ref="Y4:Y5"/>
    <mergeCell ref="Z4:Z5"/>
    <mergeCell ref="AA4:AA5"/>
    <mergeCell ref="AB4:AB5"/>
    <mergeCell ref="AC4:AC5"/>
    <mergeCell ref="AN4:AN5"/>
    <mergeCell ref="AO4:AO5"/>
    <mergeCell ref="AF4:AF5"/>
    <mergeCell ref="AG4:AG5"/>
    <mergeCell ref="AH4:AH5"/>
    <mergeCell ref="AJ4:AJ5"/>
    <mergeCell ref="AK4:AK5"/>
    <mergeCell ref="AL4:AL5"/>
    <mergeCell ref="AI3:AI5"/>
    <mergeCell ref="AJ3:AO3"/>
  </mergeCells>
  <printOptions horizontalCentered="1"/>
  <pageMargins left="0.19" right="0.19" top="1.02" bottom="0.35" header="0.35" footer="0.27"/>
  <pageSetup paperSize="5" scale="85" firstPageNumber="36" fitToWidth="0" orientation="portrait" useFirstPageNumber="1" r:id="rId1"/>
  <headerFooter alignWithMargins="0">
    <oddHeader xml:space="preserve">&amp;L&amp;"Arial,Bold"&amp;18Table 7: FY2011-12 Budget Letter &amp;20
&amp;18FY2009-2010 Local Property and Sales Tax Revenues </oddHeader>
    <oddFooter>&amp;R&amp;12&amp;P</oddFooter>
  </headerFooter>
  <colBreaks count="5" manualBreakCount="5">
    <brk id="8" min="2" max="76" man="1"/>
    <brk id="17" min="2" max="76" man="1"/>
    <brk id="24" min="2" max="76" man="1"/>
    <brk id="31" min="2" max="76" man="1"/>
    <brk id="35" min="2" max="76" man="1"/>
  </colBreaks>
</worksheet>
</file>

<file path=xl/worksheets/sheet18.xml><?xml version="1.0" encoding="utf-8"?>
<worksheet xmlns="http://schemas.openxmlformats.org/spreadsheetml/2006/main" xmlns:r="http://schemas.openxmlformats.org/officeDocument/2006/relationships">
  <dimension ref="A1:U296"/>
  <sheetViews>
    <sheetView view="pageBreakPreview" zoomScale="80" zoomScaleNormal="100" zoomScaleSheetLayoutView="80" workbookViewId="0"/>
  </sheetViews>
  <sheetFormatPr defaultRowHeight="12.75"/>
  <cols>
    <col min="1" max="1" width="9.42578125" style="1180" customWidth="1"/>
    <col min="2" max="2" width="63.85546875" style="1181" bestFit="1" customWidth="1"/>
    <col min="3" max="6" width="19.5703125" style="1181" customWidth="1"/>
    <col min="7" max="7" width="19.5703125" style="1182" customWidth="1"/>
    <col min="8" max="256" width="9.140625" style="1181"/>
    <col min="257" max="257" width="6.28515625" style="1181" customWidth="1"/>
    <col min="258" max="258" width="48.7109375" style="1181" customWidth="1"/>
    <col min="259" max="263" width="16.85546875" style="1181" customWidth="1"/>
    <col min="264" max="512" width="9.140625" style="1181"/>
    <col min="513" max="513" width="6.28515625" style="1181" customWidth="1"/>
    <col min="514" max="514" width="48.7109375" style="1181" customWidth="1"/>
    <col min="515" max="519" width="16.85546875" style="1181" customWidth="1"/>
    <col min="520" max="768" width="9.140625" style="1181"/>
    <col min="769" max="769" width="6.28515625" style="1181" customWidth="1"/>
    <col min="770" max="770" width="48.7109375" style="1181" customWidth="1"/>
    <col min="771" max="775" width="16.85546875" style="1181" customWidth="1"/>
    <col min="776" max="1024" width="9.140625" style="1181"/>
    <col min="1025" max="1025" width="6.28515625" style="1181" customWidth="1"/>
    <col min="1026" max="1026" width="48.7109375" style="1181" customWidth="1"/>
    <col min="1027" max="1031" width="16.85546875" style="1181" customWidth="1"/>
    <col min="1032" max="1280" width="9.140625" style="1181"/>
    <col min="1281" max="1281" width="6.28515625" style="1181" customWidth="1"/>
    <col min="1282" max="1282" width="48.7109375" style="1181" customWidth="1"/>
    <col min="1283" max="1287" width="16.85546875" style="1181" customWidth="1"/>
    <col min="1288" max="1536" width="9.140625" style="1181"/>
    <col min="1537" max="1537" width="6.28515625" style="1181" customWidth="1"/>
    <col min="1538" max="1538" width="48.7109375" style="1181" customWidth="1"/>
    <col min="1539" max="1543" width="16.85546875" style="1181" customWidth="1"/>
    <col min="1544" max="1792" width="9.140625" style="1181"/>
    <col min="1793" max="1793" width="6.28515625" style="1181" customWidth="1"/>
    <col min="1794" max="1794" width="48.7109375" style="1181" customWidth="1"/>
    <col min="1795" max="1799" width="16.85546875" style="1181" customWidth="1"/>
    <col min="1800" max="2048" width="9.140625" style="1181"/>
    <col min="2049" max="2049" width="6.28515625" style="1181" customWidth="1"/>
    <col min="2050" max="2050" width="48.7109375" style="1181" customWidth="1"/>
    <col min="2051" max="2055" width="16.85546875" style="1181" customWidth="1"/>
    <col min="2056" max="2304" width="9.140625" style="1181"/>
    <col min="2305" max="2305" width="6.28515625" style="1181" customWidth="1"/>
    <col min="2306" max="2306" width="48.7109375" style="1181" customWidth="1"/>
    <col min="2307" max="2311" width="16.85546875" style="1181" customWidth="1"/>
    <col min="2312" max="2560" width="9.140625" style="1181"/>
    <col min="2561" max="2561" width="6.28515625" style="1181" customWidth="1"/>
    <col min="2562" max="2562" width="48.7109375" style="1181" customWidth="1"/>
    <col min="2563" max="2567" width="16.85546875" style="1181" customWidth="1"/>
    <col min="2568" max="2816" width="9.140625" style="1181"/>
    <col min="2817" max="2817" width="6.28515625" style="1181" customWidth="1"/>
    <col min="2818" max="2818" width="48.7109375" style="1181" customWidth="1"/>
    <col min="2819" max="2823" width="16.85546875" style="1181" customWidth="1"/>
    <col min="2824" max="3072" width="9.140625" style="1181"/>
    <col min="3073" max="3073" width="6.28515625" style="1181" customWidth="1"/>
    <col min="3074" max="3074" width="48.7109375" style="1181" customWidth="1"/>
    <col min="3075" max="3079" width="16.85546875" style="1181" customWidth="1"/>
    <col min="3080" max="3328" width="9.140625" style="1181"/>
    <col min="3329" max="3329" width="6.28515625" style="1181" customWidth="1"/>
    <col min="3330" max="3330" width="48.7109375" style="1181" customWidth="1"/>
    <col min="3331" max="3335" width="16.85546875" style="1181" customWidth="1"/>
    <col min="3336" max="3584" width="9.140625" style="1181"/>
    <col min="3585" max="3585" width="6.28515625" style="1181" customWidth="1"/>
    <col min="3586" max="3586" width="48.7109375" style="1181" customWidth="1"/>
    <col min="3587" max="3591" width="16.85546875" style="1181" customWidth="1"/>
    <col min="3592" max="3840" width="9.140625" style="1181"/>
    <col min="3841" max="3841" width="6.28515625" style="1181" customWidth="1"/>
    <col min="3842" max="3842" width="48.7109375" style="1181" customWidth="1"/>
    <col min="3843" max="3847" width="16.85546875" style="1181" customWidth="1"/>
    <col min="3848" max="4096" width="9.140625" style="1181"/>
    <col min="4097" max="4097" width="6.28515625" style="1181" customWidth="1"/>
    <col min="4098" max="4098" width="48.7109375" style="1181" customWidth="1"/>
    <col min="4099" max="4103" width="16.85546875" style="1181" customWidth="1"/>
    <col min="4104" max="4352" width="9.140625" style="1181"/>
    <col min="4353" max="4353" width="6.28515625" style="1181" customWidth="1"/>
    <col min="4354" max="4354" width="48.7109375" style="1181" customWidth="1"/>
    <col min="4355" max="4359" width="16.85546875" style="1181" customWidth="1"/>
    <col min="4360" max="4608" width="9.140625" style="1181"/>
    <col min="4609" max="4609" width="6.28515625" style="1181" customWidth="1"/>
    <col min="4610" max="4610" width="48.7109375" style="1181" customWidth="1"/>
    <col min="4611" max="4615" width="16.85546875" style="1181" customWidth="1"/>
    <col min="4616" max="4864" width="9.140625" style="1181"/>
    <col min="4865" max="4865" width="6.28515625" style="1181" customWidth="1"/>
    <col min="4866" max="4866" width="48.7109375" style="1181" customWidth="1"/>
    <col min="4867" max="4871" width="16.85546875" style="1181" customWidth="1"/>
    <col min="4872" max="5120" width="9.140625" style="1181"/>
    <col min="5121" max="5121" width="6.28515625" style="1181" customWidth="1"/>
    <col min="5122" max="5122" width="48.7109375" style="1181" customWidth="1"/>
    <col min="5123" max="5127" width="16.85546875" style="1181" customWidth="1"/>
    <col min="5128" max="5376" width="9.140625" style="1181"/>
    <col min="5377" max="5377" width="6.28515625" style="1181" customWidth="1"/>
    <col min="5378" max="5378" width="48.7109375" style="1181" customWidth="1"/>
    <col min="5379" max="5383" width="16.85546875" style="1181" customWidth="1"/>
    <col min="5384" max="5632" width="9.140625" style="1181"/>
    <col min="5633" max="5633" width="6.28515625" style="1181" customWidth="1"/>
    <col min="5634" max="5634" width="48.7109375" style="1181" customWidth="1"/>
    <col min="5635" max="5639" width="16.85546875" style="1181" customWidth="1"/>
    <col min="5640" max="5888" width="9.140625" style="1181"/>
    <col min="5889" max="5889" width="6.28515625" style="1181" customWidth="1"/>
    <col min="5890" max="5890" width="48.7109375" style="1181" customWidth="1"/>
    <col min="5891" max="5895" width="16.85546875" style="1181" customWidth="1"/>
    <col min="5896" max="6144" width="9.140625" style="1181"/>
    <col min="6145" max="6145" width="6.28515625" style="1181" customWidth="1"/>
    <col min="6146" max="6146" width="48.7109375" style="1181" customWidth="1"/>
    <col min="6147" max="6151" width="16.85546875" style="1181" customWidth="1"/>
    <col min="6152" max="6400" width="9.140625" style="1181"/>
    <col min="6401" max="6401" width="6.28515625" style="1181" customWidth="1"/>
    <col min="6402" max="6402" width="48.7109375" style="1181" customWidth="1"/>
    <col min="6403" max="6407" width="16.85546875" style="1181" customWidth="1"/>
    <col min="6408" max="6656" width="9.140625" style="1181"/>
    <col min="6657" max="6657" width="6.28515625" style="1181" customWidth="1"/>
    <col min="6658" max="6658" width="48.7109375" style="1181" customWidth="1"/>
    <col min="6659" max="6663" width="16.85546875" style="1181" customWidth="1"/>
    <col min="6664" max="6912" width="9.140625" style="1181"/>
    <col min="6913" max="6913" width="6.28515625" style="1181" customWidth="1"/>
    <col min="6914" max="6914" width="48.7109375" style="1181" customWidth="1"/>
    <col min="6915" max="6919" width="16.85546875" style="1181" customWidth="1"/>
    <col min="6920" max="7168" width="9.140625" style="1181"/>
    <col min="7169" max="7169" width="6.28515625" style="1181" customWidth="1"/>
    <col min="7170" max="7170" width="48.7109375" style="1181" customWidth="1"/>
    <col min="7171" max="7175" width="16.85546875" style="1181" customWidth="1"/>
    <col min="7176" max="7424" width="9.140625" style="1181"/>
    <col min="7425" max="7425" width="6.28515625" style="1181" customWidth="1"/>
    <col min="7426" max="7426" width="48.7109375" style="1181" customWidth="1"/>
    <col min="7427" max="7431" width="16.85546875" style="1181" customWidth="1"/>
    <col min="7432" max="7680" width="9.140625" style="1181"/>
    <col min="7681" max="7681" width="6.28515625" style="1181" customWidth="1"/>
    <col min="7682" max="7682" width="48.7109375" style="1181" customWidth="1"/>
    <col min="7683" max="7687" width="16.85546875" style="1181" customWidth="1"/>
    <col min="7688" max="7936" width="9.140625" style="1181"/>
    <col min="7937" max="7937" width="6.28515625" style="1181" customWidth="1"/>
    <col min="7938" max="7938" width="48.7109375" style="1181" customWidth="1"/>
    <col min="7939" max="7943" width="16.85546875" style="1181" customWidth="1"/>
    <col min="7944" max="8192" width="9.140625" style="1181"/>
    <col min="8193" max="8193" width="6.28515625" style="1181" customWidth="1"/>
    <col min="8194" max="8194" width="48.7109375" style="1181" customWidth="1"/>
    <col min="8195" max="8199" width="16.85546875" style="1181" customWidth="1"/>
    <col min="8200" max="8448" width="9.140625" style="1181"/>
    <col min="8449" max="8449" width="6.28515625" style="1181" customWidth="1"/>
    <col min="8450" max="8450" width="48.7109375" style="1181" customWidth="1"/>
    <col min="8451" max="8455" width="16.85546875" style="1181" customWidth="1"/>
    <col min="8456" max="8704" width="9.140625" style="1181"/>
    <col min="8705" max="8705" width="6.28515625" style="1181" customWidth="1"/>
    <col min="8706" max="8706" width="48.7109375" style="1181" customWidth="1"/>
    <col min="8707" max="8711" width="16.85546875" style="1181" customWidth="1"/>
    <col min="8712" max="8960" width="9.140625" style="1181"/>
    <col min="8961" max="8961" width="6.28515625" style="1181" customWidth="1"/>
    <col min="8962" max="8962" width="48.7109375" style="1181" customWidth="1"/>
    <col min="8963" max="8967" width="16.85546875" style="1181" customWidth="1"/>
    <col min="8968" max="9216" width="9.140625" style="1181"/>
    <col min="9217" max="9217" width="6.28515625" style="1181" customWidth="1"/>
    <col min="9218" max="9218" width="48.7109375" style="1181" customWidth="1"/>
    <col min="9219" max="9223" width="16.85546875" style="1181" customWidth="1"/>
    <col min="9224" max="9472" width="9.140625" style="1181"/>
    <col min="9473" max="9473" width="6.28515625" style="1181" customWidth="1"/>
    <col min="9474" max="9474" width="48.7109375" style="1181" customWidth="1"/>
    <col min="9475" max="9479" width="16.85546875" style="1181" customWidth="1"/>
    <col min="9480" max="9728" width="9.140625" style="1181"/>
    <col min="9729" max="9729" width="6.28515625" style="1181" customWidth="1"/>
    <col min="9730" max="9730" width="48.7109375" style="1181" customWidth="1"/>
    <col min="9731" max="9735" width="16.85546875" style="1181" customWidth="1"/>
    <col min="9736" max="9984" width="9.140625" style="1181"/>
    <col min="9985" max="9985" width="6.28515625" style="1181" customWidth="1"/>
    <col min="9986" max="9986" width="48.7109375" style="1181" customWidth="1"/>
    <col min="9987" max="9991" width="16.85546875" style="1181" customWidth="1"/>
    <col min="9992" max="10240" width="9.140625" style="1181"/>
    <col min="10241" max="10241" width="6.28515625" style="1181" customWidth="1"/>
    <col min="10242" max="10242" width="48.7109375" style="1181" customWidth="1"/>
    <col min="10243" max="10247" width="16.85546875" style="1181" customWidth="1"/>
    <col min="10248" max="10496" width="9.140625" style="1181"/>
    <col min="10497" max="10497" width="6.28515625" style="1181" customWidth="1"/>
    <col min="10498" max="10498" width="48.7109375" style="1181" customWidth="1"/>
    <col min="10499" max="10503" width="16.85546875" style="1181" customWidth="1"/>
    <col min="10504" max="10752" width="9.140625" style="1181"/>
    <col min="10753" max="10753" width="6.28515625" style="1181" customWidth="1"/>
    <col min="10754" max="10754" width="48.7109375" style="1181" customWidth="1"/>
    <col min="10755" max="10759" width="16.85546875" style="1181" customWidth="1"/>
    <col min="10760" max="11008" width="9.140625" style="1181"/>
    <col min="11009" max="11009" width="6.28515625" style="1181" customWidth="1"/>
    <col min="11010" max="11010" width="48.7109375" style="1181" customWidth="1"/>
    <col min="11011" max="11015" width="16.85546875" style="1181" customWidth="1"/>
    <col min="11016" max="11264" width="9.140625" style="1181"/>
    <col min="11265" max="11265" width="6.28515625" style="1181" customWidth="1"/>
    <col min="11266" max="11266" width="48.7109375" style="1181" customWidth="1"/>
    <col min="11267" max="11271" width="16.85546875" style="1181" customWidth="1"/>
    <col min="11272" max="11520" width="9.140625" style="1181"/>
    <col min="11521" max="11521" width="6.28515625" style="1181" customWidth="1"/>
    <col min="11522" max="11522" width="48.7109375" style="1181" customWidth="1"/>
    <col min="11523" max="11527" width="16.85546875" style="1181" customWidth="1"/>
    <col min="11528" max="11776" width="9.140625" style="1181"/>
    <col min="11777" max="11777" width="6.28515625" style="1181" customWidth="1"/>
    <col min="11778" max="11778" width="48.7109375" style="1181" customWidth="1"/>
    <col min="11779" max="11783" width="16.85546875" style="1181" customWidth="1"/>
    <col min="11784" max="12032" width="9.140625" style="1181"/>
    <col min="12033" max="12033" width="6.28515625" style="1181" customWidth="1"/>
    <col min="12034" max="12034" width="48.7109375" style="1181" customWidth="1"/>
    <col min="12035" max="12039" width="16.85546875" style="1181" customWidth="1"/>
    <col min="12040" max="12288" width="9.140625" style="1181"/>
    <col min="12289" max="12289" width="6.28515625" style="1181" customWidth="1"/>
    <col min="12290" max="12290" width="48.7109375" style="1181" customWidth="1"/>
    <col min="12291" max="12295" width="16.85546875" style="1181" customWidth="1"/>
    <col min="12296" max="12544" width="9.140625" style="1181"/>
    <col min="12545" max="12545" width="6.28515625" style="1181" customWidth="1"/>
    <col min="12546" max="12546" width="48.7109375" style="1181" customWidth="1"/>
    <col min="12547" max="12551" width="16.85546875" style="1181" customWidth="1"/>
    <col min="12552" max="12800" width="9.140625" style="1181"/>
    <col min="12801" max="12801" width="6.28515625" style="1181" customWidth="1"/>
    <col min="12802" max="12802" width="48.7109375" style="1181" customWidth="1"/>
    <col min="12803" max="12807" width="16.85546875" style="1181" customWidth="1"/>
    <col min="12808" max="13056" width="9.140625" style="1181"/>
    <col min="13057" max="13057" width="6.28515625" style="1181" customWidth="1"/>
    <col min="13058" max="13058" width="48.7109375" style="1181" customWidth="1"/>
    <col min="13059" max="13063" width="16.85546875" style="1181" customWidth="1"/>
    <col min="13064" max="13312" width="9.140625" style="1181"/>
    <col min="13313" max="13313" width="6.28515625" style="1181" customWidth="1"/>
    <col min="13314" max="13314" width="48.7109375" style="1181" customWidth="1"/>
    <col min="13315" max="13319" width="16.85546875" style="1181" customWidth="1"/>
    <col min="13320" max="13568" width="9.140625" style="1181"/>
    <col min="13569" max="13569" width="6.28515625" style="1181" customWidth="1"/>
    <col min="13570" max="13570" width="48.7109375" style="1181" customWidth="1"/>
    <col min="13571" max="13575" width="16.85546875" style="1181" customWidth="1"/>
    <col min="13576" max="13824" width="9.140625" style="1181"/>
    <col min="13825" max="13825" width="6.28515625" style="1181" customWidth="1"/>
    <col min="13826" max="13826" width="48.7109375" style="1181" customWidth="1"/>
    <col min="13827" max="13831" width="16.85546875" style="1181" customWidth="1"/>
    <col min="13832" max="14080" width="9.140625" style="1181"/>
    <col min="14081" max="14081" width="6.28515625" style="1181" customWidth="1"/>
    <col min="14082" max="14082" width="48.7109375" style="1181" customWidth="1"/>
    <col min="14083" max="14087" width="16.85546875" style="1181" customWidth="1"/>
    <col min="14088" max="14336" width="9.140625" style="1181"/>
    <col min="14337" max="14337" width="6.28515625" style="1181" customWidth="1"/>
    <col min="14338" max="14338" width="48.7109375" style="1181" customWidth="1"/>
    <col min="14339" max="14343" width="16.85546875" style="1181" customWidth="1"/>
    <col min="14344" max="14592" width="9.140625" style="1181"/>
    <col min="14593" max="14593" width="6.28515625" style="1181" customWidth="1"/>
    <col min="14594" max="14594" width="48.7109375" style="1181" customWidth="1"/>
    <col min="14595" max="14599" width="16.85546875" style="1181" customWidth="1"/>
    <col min="14600" max="14848" width="9.140625" style="1181"/>
    <col min="14849" max="14849" width="6.28515625" style="1181" customWidth="1"/>
    <col min="14850" max="14850" width="48.7109375" style="1181" customWidth="1"/>
    <col min="14851" max="14855" width="16.85546875" style="1181" customWidth="1"/>
    <col min="14856" max="15104" width="9.140625" style="1181"/>
    <col min="15105" max="15105" width="6.28515625" style="1181" customWidth="1"/>
    <col min="15106" max="15106" width="48.7109375" style="1181" customWidth="1"/>
    <col min="15107" max="15111" width="16.85546875" style="1181" customWidth="1"/>
    <col min="15112" max="15360" width="9.140625" style="1181"/>
    <col min="15361" max="15361" width="6.28515625" style="1181" customWidth="1"/>
    <col min="15362" max="15362" width="48.7109375" style="1181" customWidth="1"/>
    <col min="15363" max="15367" width="16.85546875" style="1181" customWidth="1"/>
    <col min="15368" max="15616" width="9.140625" style="1181"/>
    <col min="15617" max="15617" width="6.28515625" style="1181" customWidth="1"/>
    <col min="15618" max="15618" width="48.7109375" style="1181" customWidth="1"/>
    <col min="15619" max="15623" width="16.85546875" style="1181" customWidth="1"/>
    <col min="15624" max="15872" width="9.140625" style="1181"/>
    <col min="15873" max="15873" width="6.28515625" style="1181" customWidth="1"/>
    <col min="15874" max="15874" width="48.7109375" style="1181" customWidth="1"/>
    <col min="15875" max="15879" width="16.85546875" style="1181" customWidth="1"/>
    <col min="15880" max="16128" width="9.140625" style="1181"/>
    <col min="16129" max="16129" width="6.28515625" style="1181" customWidth="1"/>
    <col min="16130" max="16130" width="48.7109375" style="1181" customWidth="1"/>
    <col min="16131" max="16135" width="16.85546875" style="1181" customWidth="1"/>
    <col min="16136" max="16384" width="9.140625" style="1181"/>
  </cols>
  <sheetData>
    <row r="1" spans="1:7" ht="0.75" customHeight="1"/>
    <row r="2" spans="1:7" ht="51" customHeight="1">
      <c r="A2" s="1887" t="s">
        <v>157</v>
      </c>
      <c r="B2" s="1887" t="s">
        <v>905</v>
      </c>
      <c r="C2" s="1887" t="s">
        <v>906</v>
      </c>
      <c r="D2" s="1887" t="s">
        <v>907</v>
      </c>
      <c r="E2" s="1889" t="s">
        <v>908</v>
      </c>
      <c r="F2" s="1885" t="s">
        <v>909</v>
      </c>
      <c r="G2" s="1885" t="s">
        <v>910</v>
      </c>
    </row>
    <row r="3" spans="1:7" ht="36.75" customHeight="1">
      <c r="A3" s="1888"/>
      <c r="B3" s="1887"/>
      <c r="C3" s="1887"/>
      <c r="D3" s="1887"/>
      <c r="E3" s="1889"/>
      <c r="F3" s="1886"/>
      <c r="G3" s="1886"/>
    </row>
    <row r="4" spans="1:7">
      <c r="A4" s="1183"/>
      <c r="B4" s="1184"/>
      <c r="C4" s="1184">
        <v>1</v>
      </c>
      <c r="D4" s="1184">
        <f>C4+1</f>
        <v>2</v>
      </c>
      <c r="E4" s="1184">
        <f t="shared" ref="E4:G4" si="0">D4+1</f>
        <v>3</v>
      </c>
      <c r="F4" s="1184">
        <f t="shared" si="0"/>
        <v>4</v>
      </c>
      <c r="G4" s="1184">
        <f t="shared" si="0"/>
        <v>5</v>
      </c>
    </row>
    <row r="5" spans="1:7" ht="15" customHeight="1">
      <c r="A5" s="1185">
        <v>1</v>
      </c>
      <c r="B5" s="1186" t="s">
        <v>911</v>
      </c>
      <c r="C5" s="1187">
        <f>'October midyear adj'!K6</f>
        <v>1292711.76</v>
      </c>
      <c r="D5" s="1187">
        <f>'February midyear adj '!K6</f>
        <v>-212724.71999999997</v>
      </c>
      <c r="E5" s="1188">
        <f>SUM(C5:D5)</f>
        <v>1079987.04</v>
      </c>
      <c r="F5" s="1189">
        <f>IF(E5&gt;0,E5,0)</f>
        <v>1079987.04</v>
      </c>
      <c r="G5" s="1189">
        <f>IF(E5&lt;0,E5,0)</f>
        <v>0</v>
      </c>
    </row>
    <row r="6" spans="1:7" ht="15" customHeight="1">
      <c r="A6" s="1185">
        <v>2</v>
      </c>
      <c r="B6" s="1186" t="s">
        <v>912</v>
      </c>
      <c r="C6" s="1187">
        <f>'October midyear adj'!K7</f>
        <v>103380.90149683585</v>
      </c>
      <c r="D6" s="1187">
        <f>'February midyear adj '!K7</f>
        <v>-130949.14189599208</v>
      </c>
      <c r="E6" s="1188">
        <f t="shared" ref="E6:E69" si="1">SUM(C6:D6)</f>
        <v>-27568.240399156231</v>
      </c>
      <c r="F6" s="1189">
        <f t="shared" ref="F6:F69" si="2">IF(E6&gt;0,E6,0)</f>
        <v>0</v>
      </c>
      <c r="G6" s="1189">
        <f t="shared" ref="G6:G69" si="3">IF(E6&lt;0,E6,0)</f>
        <v>-27568.240399156231</v>
      </c>
    </row>
    <row r="7" spans="1:7" ht="15" customHeight="1">
      <c r="A7" s="1185">
        <v>3</v>
      </c>
      <c r="B7" s="1186" t="s">
        <v>913</v>
      </c>
      <c r="C7" s="1187">
        <f>'October midyear adj'!K8</f>
        <v>2601483.0569170103</v>
      </c>
      <c r="D7" s="1187">
        <f>'February midyear adj '!K8</f>
        <v>54295.925870318722</v>
      </c>
      <c r="E7" s="1188">
        <f t="shared" si="1"/>
        <v>2655778.9827873292</v>
      </c>
      <c r="F7" s="1190">
        <f t="shared" si="2"/>
        <v>2655778.9827873292</v>
      </c>
      <c r="G7" s="1190">
        <f t="shared" si="3"/>
        <v>0</v>
      </c>
    </row>
    <row r="8" spans="1:7" ht="15" customHeight="1">
      <c r="A8" s="1185">
        <v>4</v>
      </c>
      <c r="B8" s="1186" t="s">
        <v>914</v>
      </c>
      <c r="C8" s="1187">
        <f>'October midyear adj'!K9</f>
        <v>-119298.8065881665</v>
      </c>
      <c r="D8" s="1187">
        <f>'February midyear adj '!K9</f>
        <v>82846.393464004504</v>
      </c>
      <c r="E8" s="1188">
        <f t="shared" si="1"/>
        <v>-36452.413124161991</v>
      </c>
      <c r="F8" s="1190">
        <f t="shared" si="2"/>
        <v>0</v>
      </c>
      <c r="G8" s="1190">
        <f t="shared" si="3"/>
        <v>-36452.413124161991</v>
      </c>
    </row>
    <row r="9" spans="1:7" ht="15" customHeight="1">
      <c r="A9" s="1191">
        <v>5</v>
      </c>
      <c r="B9" s="1192" t="s">
        <v>915</v>
      </c>
      <c r="C9" s="1193">
        <f>'October midyear adj'!K10</f>
        <v>-413184.87239924993</v>
      </c>
      <c r="D9" s="1193">
        <f>'February midyear adj '!K10</f>
        <v>13591.607644712169</v>
      </c>
      <c r="E9" s="1194">
        <f t="shared" si="1"/>
        <v>-399593.26475453778</v>
      </c>
      <c r="F9" s="1195">
        <f t="shared" si="2"/>
        <v>0</v>
      </c>
      <c r="G9" s="1195">
        <f t="shared" si="3"/>
        <v>-399593.26475453778</v>
      </c>
    </row>
    <row r="10" spans="1:7" ht="15" customHeight="1">
      <c r="A10" s="1185">
        <v>6</v>
      </c>
      <c r="B10" s="1186" t="s">
        <v>916</v>
      </c>
      <c r="C10" s="1187">
        <f>'October midyear adj'!K11</f>
        <v>-352338.91161002085</v>
      </c>
      <c r="D10" s="1187">
        <f>'February midyear adj '!K11</f>
        <v>111264.91945579606</v>
      </c>
      <c r="E10" s="1188">
        <f t="shared" si="1"/>
        <v>-241073.99215422478</v>
      </c>
      <c r="F10" s="1189">
        <f t="shared" si="2"/>
        <v>0</v>
      </c>
      <c r="G10" s="1189">
        <f t="shared" si="3"/>
        <v>-241073.99215422478</v>
      </c>
    </row>
    <row r="11" spans="1:7" ht="15" customHeight="1">
      <c r="A11" s="1185">
        <v>7</v>
      </c>
      <c r="B11" s="1186" t="s">
        <v>917</v>
      </c>
      <c r="C11" s="1187">
        <f>'October midyear adj'!K12</f>
        <v>39047.143748296228</v>
      </c>
      <c r="D11" s="1187">
        <f>'February midyear adj '!K12</f>
        <v>-12632.899447978192</v>
      </c>
      <c r="E11" s="1188">
        <f t="shared" si="1"/>
        <v>26414.244300318038</v>
      </c>
      <c r="F11" s="1189">
        <f t="shared" si="2"/>
        <v>26414.244300318038</v>
      </c>
      <c r="G11" s="1189">
        <f t="shared" si="3"/>
        <v>0</v>
      </c>
    </row>
    <row r="12" spans="1:7" ht="15" customHeight="1">
      <c r="A12" s="1185">
        <v>8</v>
      </c>
      <c r="B12" s="1186" t="s">
        <v>918</v>
      </c>
      <c r="C12" s="1187">
        <f>'October midyear adj'!K13</f>
        <v>2519544.0961720627</v>
      </c>
      <c r="D12" s="1187">
        <f>'February midyear adj '!K13</f>
        <v>-276535.32762864104</v>
      </c>
      <c r="E12" s="1188">
        <f t="shared" si="1"/>
        <v>2243008.7685434218</v>
      </c>
      <c r="F12" s="1190">
        <f t="shared" si="2"/>
        <v>2243008.7685434218</v>
      </c>
      <c r="G12" s="1190">
        <f t="shared" si="3"/>
        <v>0</v>
      </c>
    </row>
    <row r="13" spans="1:7" ht="15" customHeight="1">
      <c r="A13" s="1185">
        <v>9</v>
      </c>
      <c r="B13" s="1186" t="s">
        <v>919</v>
      </c>
      <c r="C13" s="1187">
        <f>'October midyear adj'!K14</f>
        <v>-189797.83745446955</v>
      </c>
      <c r="D13" s="1187">
        <f>'February midyear adj '!K14</f>
        <v>-182103.33053063971</v>
      </c>
      <c r="E13" s="1188">
        <f t="shared" si="1"/>
        <v>-371901.16798510926</v>
      </c>
      <c r="F13" s="1187">
        <f t="shared" si="2"/>
        <v>0</v>
      </c>
      <c r="G13" s="1187">
        <f t="shared" si="3"/>
        <v>-371901.16798510926</v>
      </c>
    </row>
    <row r="14" spans="1:7" ht="15" customHeight="1">
      <c r="A14" s="1191">
        <v>10</v>
      </c>
      <c r="B14" s="1192" t="s">
        <v>686</v>
      </c>
      <c r="C14" s="1193">
        <f>'October midyear adj'!K15</f>
        <v>-1677782.84810018</v>
      </c>
      <c r="D14" s="1193">
        <f>'February midyear adj '!K15</f>
        <v>-130384.88408989669</v>
      </c>
      <c r="E14" s="1194">
        <f t="shared" si="1"/>
        <v>-1808167.7321900767</v>
      </c>
      <c r="F14" s="1193">
        <f t="shared" si="2"/>
        <v>0</v>
      </c>
      <c r="G14" s="1193">
        <f t="shared" si="3"/>
        <v>-1808167.7321900767</v>
      </c>
    </row>
    <row r="15" spans="1:7" ht="15" customHeight="1">
      <c r="A15" s="1185">
        <v>11</v>
      </c>
      <c r="B15" s="1186" t="s">
        <v>920</v>
      </c>
      <c r="C15" s="1187">
        <f>'October midyear adj'!K16</f>
        <v>-331826.13741818693</v>
      </c>
      <c r="D15" s="1187">
        <f>'February midyear adj '!K16</f>
        <v>44243.484989091594</v>
      </c>
      <c r="E15" s="1188">
        <f t="shared" si="1"/>
        <v>-287582.65242909535</v>
      </c>
      <c r="F15" s="1187">
        <f t="shared" si="2"/>
        <v>0</v>
      </c>
      <c r="G15" s="1187">
        <f t="shared" si="3"/>
        <v>-287582.65242909535</v>
      </c>
    </row>
    <row r="16" spans="1:7" ht="15" customHeight="1">
      <c r="A16" s="1185">
        <v>12</v>
      </c>
      <c r="B16" s="1186" t="s">
        <v>921</v>
      </c>
      <c r="C16" s="1187">
        <f>'October midyear adj'!K17</f>
        <v>72625.583104838719</v>
      </c>
      <c r="D16" s="1187">
        <f>'February midyear adj '!K17</f>
        <v>-59176.401048387102</v>
      </c>
      <c r="E16" s="1188">
        <f t="shared" si="1"/>
        <v>13449.182056451617</v>
      </c>
      <c r="F16" s="1187">
        <f t="shared" si="2"/>
        <v>13449.182056451617</v>
      </c>
      <c r="G16" s="1187">
        <f t="shared" si="3"/>
        <v>0</v>
      </c>
    </row>
    <row r="17" spans="1:7" ht="15" customHeight="1">
      <c r="A17" s="1185">
        <v>13</v>
      </c>
      <c r="B17" s="1186" t="s">
        <v>922</v>
      </c>
      <c r="C17" s="1187">
        <f>'October midyear adj'!K18</f>
        <v>40352.848465013863</v>
      </c>
      <c r="D17" s="1187">
        <f>'February midyear adj '!K18</f>
        <v>-43715.585837098348</v>
      </c>
      <c r="E17" s="1188">
        <f t="shared" si="1"/>
        <v>-3362.7373720844844</v>
      </c>
      <c r="F17" s="1187">
        <f t="shared" si="2"/>
        <v>0</v>
      </c>
      <c r="G17" s="1187">
        <f t="shared" si="3"/>
        <v>-3362.7373720844844</v>
      </c>
    </row>
    <row r="18" spans="1:7" ht="15" customHeight="1">
      <c r="A18" s="1185">
        <v>14</v>
      </c>
      <c r="B18" s="1186" t="s">
        <v>923</v>
      </c>
      <c r="C18" s="1187">
        <f>'October midyear adj'!K19</f>
        <v>-177091.86945200039</v>
      </c>
      <c r="D18" s="1187">
        <f>'February midyear adj '!K19</f>
        <v>-121340.72536525952</v>
      </c>
      <c r="E18" s="1188">
        <f t="shared" si="1"/>
        <v>-298432.59481725993</v>
      </c>
      <c r="F18" s="1187">
        <f t="shared" si="2"/>
        <v>0</v>
      </c>
      <c r="G18" s="1187">
        <f t="shared" si="3"/>
        <v>-298432.59481725993</v>
      </c>
    </row>
    <row r="19" spans="1:7" ht="15" customHeight="1">
      <c r="A19" s="1191">
        <v>15</v>
      </c>
      <c r="B19" s="1192" t="s">
        <v>924</v>
      </c>
      <c r="C19" s="1193">
        <f>'October midyear adj'!K20</f>
        <v>-291666.47174288193</v>
      </c>
      <c r="D19" s="1193">
        <f>'February midyear adj '!K20</f>
        <v>-65476.146717789823</v>
      </c>
      <c r="E19" s="1194">
        <f t="shared" si="1"/>
        <v>-357142.61846067174</v>
      </c>
      <c r="F19" s="1193">
        <f t="shared" si="2"/>
        <v>0</v>
      </c>
      <c r="G19" s="1193">
        <f t="shared" si="3"/>
        <v>-357142.61846067174</v>
      </c>
    </row>
    <row r="20" spans="1:7" ht="15" customHeight="1">
      <c r="A20" s="1185">
        <v>16</v>
      </c>
      <c r="B20" s="1186" t="s">
        <v>925</v>
      </c>
      <c r="C20" s="1187">
        <f>'October midyear adj'!K21</f>
        <v>217792.64347658755</v>
      </c>
      <c r="D20" s="1187">
        <f>'February midyear adj '!K21</f>
        <v>-3299.8885375240538</v>
      </c>
      <c r="E20" s="1188">
        <f t="shared" si="1"/>
        <v>214492.75493906348</v>
      </c>
      <c r="F20" s="1187">
        <f t="shared" si="2"/>
        <v>214492.75493906348</v>
      </c>
      <c r="G20" s="1187">
        <f t="shared" si="3"/>
        <v>0</v>
      </c>
    </row>
    <row r="21" spans="1:7" ht="15" customHeight="1">
      <c r="A21" s="1185">
        <v>17</v>
      </c>
      <c r="B21" s="1186" t="s">
        <v>639</v>
      </c>
      <c r="C21" s="1187">
        <f>'October midyear adj'!K22</f>
        <v>2021935.1269904596</v>
      </c>
      <c r="D21" s="1187">
        <f>'February midyear adj '!K22</f>
        <v>-455647.35256123036</v>
      </c>
      <c r="E21" s="1188">
        <f t="shared" si="1"/>
        <v>1566287.7744292293</v>
      </c>
      <c r="F21" s="1187">
        <f t="shared" si="2"/>
        <v>1566287.7744292293</v>
      </c>
      <c r="G21" s="1187">
        <f t="shared" si="3"/>
        <v>0</v>
      </c>
    </row>
    <row r="22" spans="1:7" ht="15" customHeight="1">
      <c r="A22" s="1185">
        <v>18</v>
      </c>
      <c r="B22" s="1186" t="s">
        <v>926</v>
      </c>
      <c r="C22" s="1187">
        <f>'October midyear adj'!K23</f>
        <v>-66152.954577403259</v>
      </c>
      <c r="D22" s="1187">
        <f>'February midyear adj '!K23</f>
        <v>-62845.306848533095</v>
      </c>
      <c r="E22" s="1188">
        <f t="shared" si="1"/>
        <v>-128998.26142593636</v>
      </c>
      <c r="F22" s="1187">
        <f t="shared" si="2"/>
        <v>0</v>
      </c>
      <c r="G22" s="1187">
        <f t="shared" si="3"/>
        <v>-128998.26142593636</v>
      </c>
    </row>
    <row r="23" spans="1:7" ht="15" customHeight="1">
      <c r="A23" s="1185">
        <v>19</v>
      </c>
      <c r="B23" s="1186" t="s">
        <v>927</v>
      </c>
      <c r="C23" s="1187">
        <f>'October midyear adj'!K24</f>
        <v>12219.185895125638</v>
      </c>
      <c r="D23" s="1187">
        <f>'February midyear adj '!K24</f>
        <v>-94698.690687223701</v>
      </c>
      <c r="E23" s="1188">
        <f t="shared" si="1"/>
        <v>-82479.504792098058</v>
      </c>
      <c r="F23" s="1187">
        <f t="shared" si="2"/>
        <v>0</v>
      </c>
      <c r="G23" s="1187">
        <f t="shared" si="3"/>
        <v>-82479.504792098058</v>
      </c>
    </row>
    <row r="24" spans="1:7" ht="15" customHeight="1">
      <c r="A24" s="1191">
        <v>20</v>
      </c>
      <c r="B24" s="1192" t="s">
        <v>928</v>
      </c>
      <c r="C24" s="1193">
        <f>'October midyear adj'!K25</f>
        <v>644607.11940735357</v>
      </c>
      <c r="D24" s="1193">
        <f>'February midyear adj '!K25</f>
        <v>-12048.731203875768</v>
      </c>
      <c r="E24" s="1194">
        <f t="shared" si="1"/>
        <v>632558.38820347784</v>
      </c>
      <c r="F24" s="1193">
        <f t="shared" si="2"/>
        <v>632558.38820347784</v>
      </c>
      <c r="G24" s="1193">
        <f t="shared" si="3"/>
        <v>0</v>
      </c>
    </row>
    <row r="25" spans="1:7" ht="15" customHeight="1">
      <c r="A25" s="1185">
        <v>21</v>
      </c>
      <c r="B25" s="1186" t="s">
        <v>929</v>
      </c>
      <c r="C25" s="1187">
        <f>'October midyear adj'!K26</f>
        <v>267866.60864129564</v>
      </c>
      <c r="D25" s="1187">
        <f>'February midyear adj '!K26</f>
        <v>-21803.096052198482</v>
      </c>
      <c r="E25" s="1188">
        <f t="shared" si="1"/>
        <v>246063.51258909714</v>
      </c>
      <c r="F25" s="1187">
        <f t="shared" si="2"/>
        <v>246063.51258909714</v>
      </c>
      <c r="G25" s="1187">
        <f t="shared" si="3"/>
        <v>0</v>
      </c>
    </row>
    <row r="26" spans="1:7" ht="15" customHeight="1">
      <c r="A26" s="1185">
        <v>22</v>
      </c>
      <c r="B26" s="1186" t="s">
        <v>930</v>
      </c>
      <c r="C26" s="1187">
        <f>'October midyear adj'!K27</f>
        <v>-213843.62757652751</v>
      </c>
      <c r="D26" s="1187">
        <f>'February midyear adj '!K27</f>
        <v>-23389.146766182697</v>
      </c>
      <c r="E26" s="1188">
        <f t="shared" si="1"/>
        <v>-237232.77434271021</v>
      </c>
      <c r="F26" s="1187">
        <f t="shared" si="2"/>
        <v>0</v>
      </c>
      <c r="G26" s="1187">
        <f t="shared" si="3"/>
        <v>-237232.77434271021</v>
      </c>
    </row>
    <row r="27" spans="1:7" ht="15" customHeight="1">
      <c r="A27" s="1185">
        <v>23</v>
      </c>
      <c r="B27" s="1186" t="s">
        <v>931</v>
      </c>
      <c r="C27" s="1187">
        <f>'October midyear adj'!K28</f>
        <v>1098060.0510365618</v>
      </c>
      <c r="D27" s="1187">
        <f>'February midyear adj '!K28</f>
        <v>-251063.98151840986</v>
      </c>
      <c r="E27" s="1188">
        <f t="shared" si="1"/>
        <v>846996.06951815193</v>
      </c>
      <c r="F27" s="1187">
        <f t="shared" si="2"/>
        <v>846996.06951815193</v>
      </c>
      <c r="G27" s="1187">
        <f t="shared" si="3"/>
        <v>0</v>
      </c>
    </row>
    <row r="28" spans="1:7" ht="15" customHeight="1">
      <c r="A28" s="1185">
        <v>24</v>
      </c>
      <c r="B28" s="1186" t="s">
        <v>932</v>
      </c>
      <c r="C28" s="1187">
        <f>'October midyear adj'!K29</f>
        <v>368368.90764476999</v>
      </c>
      <c r="D28" s="1187">
        <f>'February midyear adj '!K29</f>
        <v>-30139.274261844817</v>
      </c>
      <c r="E28" s="1188">
        <f t="shared" si="1"/>
        <v>338229.63338292518</v>
      </c>
      <c r="F28" s="1187">
        <f t="shared" si="2"/>
        <v>338229.63338292518</v>
      </c>
      <c r="G28" s="1187">
        <f t="shared" si="3"/>
        <v>0</v>
      </c>
    </row>
    <row r="29" spans="1:7" ht="15" customHeight="1">
      <c r="A29" s="1191">
        <v>25</v>
      </c>
      <c r="B29" s="1192" t="s">
        <v>933</v>
      </c>
      <c r="C29" s="1193">
        <f>'October midyear adj'!K30</f>
        <v>108026.05451821086</v>
      </c>
      <c r="D29" s="1193">
        <f>'February midyear adj '!K30</f>
        <v>17284.168722913739</v>
      </c>
      <c r="E29" s="1194">
        <f t="shared" si="1"/>
        <v>125310.22324112459</v>
      </c>
      <c r="F29" s="1193">
        <f t="shared" si="2"/>
        <v>125310.22324112459</v>
      </c>
      <c r="G29" s="1193">
        <f t="shared" si="3"/>
        <v>0</v>
      </c>
    </row>
    <row r="30" spans="1:7" ht="15" customHeight="1">
      <c r="A30" s="1185">
        <v>26</v>
      </c>
      <c r="B30" s="1186" t="s">
        <v>663</v>
      </c>
      <c r="C30" s="1187">
        <f>'October midyear adj'!K31</f>
        <v>3189742.3207837464</v>
      </c>
      <c r="D30" s="1187">
        <f>'February midyear adj '!K31</f>
        <v>-492416.47077099088</v>
      </c>
      <c r="E30" s="1188">
        <f t="shared" si="1"/>
        <v>2697325.8500127555</v>
      </c>
      <c r="F30" s="1187">
        <f t="shared" si="2"/>
        <v>2697325.8500127555</v>
      </c>
      <c r="G30" s="1187">
        <f t="shared" si="3"/>
        <v>0</v>
      </c>
    </row>
    <row r="31" spans="1:7" ht="15" customHeight="1">
      <c r="A31" s="1185">
        <v>27</v>
      </c>
      <c r="B31" s="1186" t="s">
        <v>934</v>
      </c>
      <c r="C31" s="1187">
        <f>'October midyear adj'!K32</f>
        <v>-140977.36131866404</v>
      </c>
      <c r="D31" s="1187">
        <f>'February midyear adj '!K32</f>
        <v>64080.618781210927</v>
      </c>
      <c r="E31" s="1188">
        <f t="shared" si="1"/>
        <v>-76896.742537453116</v>
      </c>
      <c r="F31" s="1187">
        <f t="shared" si="2"/>
        <v>0</v>
      </c>
      <c r="G31" s="1187">
        <f t="shared" si="3"/>
        <v>-76896.742537453116</v>
      </c>
    </row>
    <row r="32" spans="1:7" ht="15" customHeight="1">
      <c r="A32" s="1185">
        <v>28</v>
      </c>
      <c r="B32" s="1186" t="s">
        <v>935</v>
      </c>
      <c r="C32" s="1187">
        <f>'October midyear adj'!K33</f>
        <v>1454104.8993458713</v>
      </c>
      <c r="D32" s="1187">
        <f>'February midyear adj '!K33</f>
        <v>-619416.19315711001</v>
      </c>
      <c r="E32" s="1188">
        <f t="shared" si="1"/>
        <v>834688.70618876128</v>
      </c>
      <c r="F32" s="1187">
        <f t="shared" si="2"/>
        <v>834688.70618876128</v>
      </c>
      <c r="G32" s="1187">
        <f t="shared" si="3"/>
        <v>0</v>
      </c>
    </row>
    <row r="33" spans="1:7" ht="15" customHeight="1">
      <c r="A33" s="1185">
        <v>29</v>
      </c>
      <c r="B33" s="1186" t="s">
        <v>936</v>
      </c>
      <c r="C33" s="1187">
        <f>'October midyear adj'!K34</f>
        <v>961224.62581474497</v>
      </c>
      <c r="D33" s="1187">
        <f>'February midyear adj '!K34</f>
        <v>-356743.16009619401</v>
      </c>
      <c r="E33" s="1188">
        <f t="shared" si="1"/>
        <v>604481.46571855096</v>
      </c>
      <c r="F33" s="1187">
        <f t="shared" si="2"/>
        <v>604481.46571855096</v>
      </c>
      <c r="G33" s="1187">
        <f t="shared" si="3"/>
        <v>0</v>
      </c>
    </row>
    <row r="34" spans="1:7" ht="15" customHeight="1">
      <c r="A34" s="1191">
        <v>30</v>
      </c>
      <c r="B34" s="1192" t="s">
        <v>937</v>
      </c>
      <c r="C34" s="1193">
        <f>'October midyear adj'!K35</f>
        <v>208278.21104385052</v>
      </c>
      <c r="D34" s="1193">
        <f>'February midyear adj '!K35</f>
        <v>-133428.22894996672</v>
      </c>
      <c r="E34" s="1194">
        <f t="shared" si="1"/>
        <v>74849.982093883795</v>
      </c>
      <c r="F34" s="1193">
        <f t="shared" si="2"/>
        <v>74849.982093883795</v>
      </c>
      <c r="G34" s="1193">
        <f t="shared" si="3"/>
        <v>0</v>
      </c>
    </row>
    <row r="35" spans="1:7" ht="15" customHeight="1">
      <c r="A35" s="1185">
        <v>31</v>
      </c>
      <c r="B35" s="1186" t="s">
        <v>654</v>
      </c>
      <c r="C35" s="1187">
        <f>'October midyear adj'!K36</f>
        <v>-53390.853477620025</v>
      </c>
      <c r="D35" s="1187">
        <f>'February midyear adj '!K36</f>
        <v>-7280.5709287663667</v>
      </c>
      <c r="E35" s="1188">
        <f t="shared" si="1"/>
        <v>-60671.424406386388</v>
      </c>
      <c r="F35" s="1187">
        <f t="shared" si="2"/>
        <v>0</v>
      </c>
      <c r="G35" s="1187">
        <f t="shared" si="3"/>
        <v>-60671.424406386388</v>
      </c>
    </row>
    <row r="36" spans="1:7" ht="15" customHeight="1">
      <c r="A36" s="1185">
        <v>32</v>
      </c>
      <c r="B36" s="1186" t="s">
        <v>640</v>
      </c>
      <c r="C36" s="1187">
        <f>'October midyear adj'!K37</f>
        <v>2224518.0895691332</v>
      </c>
      <c r="D36" s="1187">
        <f>'February midyear adj '!K37</f>
        <v>-209296.05681430019</v>
      </c>
      <c r="E36" s="1188">
        <f t="shared" si="1"/>
        <v>2015222.0327548331</v>
      </c>
      <c r="F36" s="1187">
        <f t="shared" si="2"/>
        <v>2015222.0327548331</v>
      </c>
      <c r="G36" s="1187">
        <f t="shared" si="3"/>
        <v>0</v>
      </c>
    </row>
    <row r="37" spans="1:7" ht="15" customHeight="1">
      <c r="A37" s="1185">
        <v>33</v>
      </c>
      <c r="B37" s="1186" t="s">
        <v>938</v>
      </c>
      <c r="C37" s="1187">
        <f>'October midyear adj'!K38</f>
        <v>63782.904748646295</v>
      </c>
      <c r="D37" s="1187">
        <f>'February midyear adj '!K38</f>
        <v>60593.759511213982</v>
      </c>
      <c r="E37" s="1188">
        <f t="shared" si="1"/>
        <v>124376.66425986028</v>
      </c>
      <c r="F37" s="1187">
        <f t="shared" si="2"/>
        <v>124376.66425986028</v>
      </c>
      <c r="G37" s="1187">
        <f t="shared" si="3"/>
        <v>0</v>
      </c>
    </row>
    <row r="38" spans="1:7" ht="15" customHeight="1">
      <c r="A38" s="1185">
        <v>34</v>
      </c>
      <c r="B38" s="1186" t="s">
        <v>939</v>
      </c>
      <c r="C38" s="1187">
        <f>'October midyear adj'!K39</f>
        <v>-205084.73495899199</v>
      </c>
      <c r="D38" s="1187">
        <f>'February midyear adj '!K39</f>
        <v>-67293.428658419245</v>
      </c>
      <c r="E38" s="1188">
        <f t="shared" si="1"/>
        <v>-272378.16361741122</v>
      </c>
      <c r="F38" s="1187">
        <f t="shared" si="2"/>
        <v>0</v>
      </c>
      <c r="G38" s="1187">
        <f t="shared" si="3"/>
        <v>-272378.16361741122</v>
      </c>
    </row>
    <row r="39" spans="1:7" ht="15" customHeight="1">
      <c r="A39" s="1191">
        <v>35</v>
      </c>
      <c r="B39" s="1192" t="s">
        <v>940</v>
      </c>
      <c r="C39" s="1193">
        <f>'October midyear adj'!K40</f>
        <v>115553.46801646971</v>
      </c>
      <c r="D39" s="1193">
        <f>'February midyear adj '!K40</f>
        <v>-60528.007056246039</v>
      </c>
      <c r="E39" s="1194">
        <f t="shared" si="1"/>
        <v>55025.460960223667</v>
      </c>
      <c r="F39" s="1193">
        <f t="shared" si="2"/>
        <v>55025.460960223667</v>
      </c>
      <c r="G39" s="1193">
        <f t="shared" si="3"/>
        <v>0</v>
      </c>
    </row>
    <row r="40" spans="1:7" ht="15" customHeight="1">
      <c r="A40" s="1185">
        <v>36</v>
      </c>
      <c r="B40" s="1186" t="s">
        <v>662</v>
      </c>
      <c r="C40" s="1187">
        <f>'October midyear adj'!K41</f>
        <v>1778728.7164147987</v>
      </c>
      <c r="D40" s="1187">
        <f>'February midyear adj '!K41</f>
        <v>-35813.329860700644</v>
      </c>
      <c r="E40" s="1188">
        <f t="shared" si="1"/>
        <v>1742915.3865540982</v>
      </c>
      <c r="F40" s="1187">
        <f t="shared" si="2"/>
        <v>1742915.3865540982</v>
      </c>
      <c r="G40" s="1187">
        <f t="shared" si="3"/>
        <v>0</v>
      </c>
    </row>
    <row r="41" spans="1:7" ht="15" customHeight="1">
      <c r="A41" s="1185">
        <v>37</v>
      </c>
      <c r="B41" s="1186" t="s">
        <v>653</v>
      </c>
      <c r="C41" s="1187">
        <f>'October midyear adj'!K42</f>
        <v>1378282.3690644167</v>
      </c>
      <c r="D41" s="1187">
        <f>'February midyear adj '!K42</f>
        <v>-150079.63574256981</v>
      </c>
      <c r="E41" s="1188">
        <f t="shared" si="1"/>
        <v>1228202.7333218469</v>
      </c>
      <c r="F41" s="1187">
        <f t="shared" si="2"/>
        <v>1228202.7333218469</v>
      </c>
      <c r="G41" s="1187">
        <f t="shared" si="3"/>
        <v>0</v>
      </c>
    </row>
    <row r="42" spans="1:7" ht="15" customHeight="1">
      <c r="A42" s="1185">
        <v>38</v>
      </c>
      <c r="B42" s="1186" t="s">
        <v>673</v>
      </c>
      <c r="C42" s="1187">
        <f>'October midyear adj'!K43</f>
        <v>67756.043779506435</v>
      </c>
      <c r="D42" s="1187">
        <f>'February midyear adj '!K43</f>
        <v>1613.2391376072962</v>
      </c>
      <c r="E42" s="1188">
        <f t="shared" si="1"/>
        <v>69369.282917113727</v>
      </c>
      <c r="F42" s="1187">
        <f t="shared" si="2"/>
        <v>69369.282917113727</v>
      </c>
      <c r="G42" s="1187">
        <f t="shared" si="3"/>
        <v>0</v>
      </c>
    </row>
    <row r="43" spans="1:7" ht="15" customHeight="1">
      <c r="A43" s="1185">
        <v>39</v>
      </c>
      <c r="B43" s="1186" t="s">
        <v>941</v>
      </c>
      <c r="C43" s="1187">
        <f>'October midyear adj'!K44</f>
        <v>353196.79967213375</v>
      </c>
      <c r="D43" s="1187">
        <f>'February midyear adj '!K44</f>
        <v>-24282.279977459199</v>
      </c>
      <c r="E43" s="1188">
        <f t="shared" si="1"/>
        <v>328914.51969467453</v>
      </c>
      <c r="F43" s="1187">
        <f t="shared" si="2"/>
        <v>328914.51969467453</v>
      </c>
      <c r="G43" s="1187">
        <f t="shared" si="3"/>
        <v>0</v>
      </c>
    </row>
    <row r="44" spans="1:7" ht="15" customHeight="1">
      <c r="A44" s="1191">
        <v>40</v>
      </c>
      <c r="B44" s="1192" t="s">
        <v>942</v>
      </c>
      <c r="C44" s="1193">
        <f>'October midyear adj'!K45</f>
        <v>1715699.9882606957</v>
      </c>
      <c r="D44" s="1193">
        <f>'February midyear adj '!K45</f>
        <v>-384932.689673874</v>
      </c>
      <c r="E44" s="1194">
        <f t="shared" si="1"/>
        <v>1330767.2985868216</v>
      </c>
      <c r="F44" s="1193">
        <f t="shared" si="2"/>
        <v>1330767.2985868216</v>
      </c>
      <c r="G44" s="1193">
        <f t="shared" si="3"/>
        <v>0</v>
      </c>
    </row>
    <row r="45" spans="1:7" ht="15" customHeight="1">
      <c r="A45" s="1185">
        <v>41</v>
      </c>
      <c r="B45" s="1186" t="s">
        <v>943</v>
      </c>
      <c r="C45" s="1187">
        <f>'October midyear adj'!K46</f>
        <v>-75216.35949790795</v>
      </c>
      <c r="D45" s="1187">
        <f>'February midyear adj '!K46</f>
        <v>-14103.067405857739</v>
      </c>
      <c r="E45" s="1188">
        <f t="shared" si="1"/>
        <v>-89319.426903765692</v>
      </c>
      <c r="F45" s="1187">
        <f t="shared" si="2"/>
        <v>0</v>
      </c>
      <c r="G45" s="1187">
        <f t="shared" si="3"/>
        <v>-89319.426903765692</v>
      </c>
    </row>
    <row r="46" spans="1:7" ht="15" customHeight="1">
      <c r="A46" s="1185">
        <v>42</v>
      </c>
      <c r="B46" s="1186" t="s">
        <v>944</v>
      </c>
      <c r="C46" s="1189">
        <f>'October midyear adj'!K47</f>
        <v>579395.10288294579</v>
      </c>
      <c r="D46" s="1189">
        <f>'February midyear adj '!K47</f>
        <v>90530.484825460269</v>
      </c>
      <c r="E46" s="1188">
        <f t="shared" si="1"/>
        <v>669925.58770840603</v>
      </c>
      <c r="F46" s="1187">
        <f t="shared" si="2"/>
        <v>669925.58770840603</v>
      </c>
      <c r="G46" s="1187">
        <f t="shared" si="3"/>
        <v>0</v>
      </c>
    </row>
    <row r="47" spans="1:7" ht="15" customHeight="1">
      <c r="A47" s="1185">
        <v>43</v>
      </c>
      <c r="B47" s="1186" t="s">
        <v>945</v>
      </c>
      <c r="C47" s="1190">
        <f>'October midyear adj'!K48</f>
        <v>-163429.8055253303</v>
      </c>
      <c r="D47" s="1190">
        <f>'February midyear adj '!K48</f>
        <v>29417.364994559455</v>
      </c>
      <c r="E47" s="1188">
        <f t="shared" si="1"/>
        <v>-134012.44053077084</v>
      </c>
      <c r="F47" s="1187">
        <f t="shared" si="2"/>
        <v>0</v>
      </c>
      <c r="G47" s="1187">
        <f t="shared" si="3"/>
        <v>-134012.44053077084</v>
      </c>
    </row>
    <row r="48" spans="1:7" ht="15" customHeight="1">
      <c r="A48" s="1185">
        <v>44</v>
      </c>
      <c r="B48" s="1186" t="s">
        <v>664</v>
      </c>
      <c r="C48" s="1190">
        <f>'October midyear adj'!K49</f>
        <v>1832447.2646063128</v>
      </c>
      <c r="D48" s="1190">
        <f>'February midyear adj '!K49</f>
        <v>105428.47275817143</v>
      </c>
      <c r="E48" s="1188">
        <f t="shared" si="1"/>
        <v>1937875.7373644842</v>
      </c>
      <c r="F48" s="1187">
        <f t="shared" si="2"/>
        <v>1937875.7373644842</v>
      </c>
      <c r="G48" s="1187">
        <f t="shared" si="3"/>
        <v>0</v>
      </c>
    </row>
    <row r="49" spans="1:7" ht="15" customHeight="1">
      <c r="A49" s="1191">
        <v>45</v>
      </c>
      <c r="B49" s="1192" t="s">
        <v>665</v>
      </c>
      <c r="C49" s="1195">
        <f>'October midyear adj'!K50</f>
        <v>206988.5558854719</v>
      </c>
      <c r="D49" s="1195">
        <f>'February midyear adj '!K50</f>
        <v>-148076.42844114528</v>
      </c>
      <c r="E49" s="1194">
        <f t="shared" si="1"/>
        <v>58912.127444326616</v>
      </c>
      <c r="F49" s="1193">
        <f t="shared" si="2"/>
        <v>58912.127444326616</v>
      </c>
      <c r="G49" s="1193">
        <f t="shared" si="3"/>
        <v>0</v>
      </c>
    </row>
    <row r="50" spans="1:7" ht="15" customHeight="1">
      <c r="A50" s="1185">
        <v>46</v>
      </c>
      <c r="B50" s="1186" t="s">
        <v>946</v>
      </c>
      <c r="C50" s="1189">
        <f>'October midyear adj'!K51</f>
        <v>39181.026059880329</v>
      </c>
      <c r="D50" s="1189">
        <f>'February midyear adj '!K51</f>
        <v>16325.427524950137</v>
      </c>
      <c r="E50" s="1188">
        <f t="shared" si="1"/>
        <v>55506.453584830466</v>
      </c>
      <c r="F50" s="1187">
        <f t="shared" si="2"/>
        <v>55506.453584830466</v>
      </c>
      <c r="G50" s="1187">
        <f t="shared" si="3"/>
        <v>0</v>
      </c>
    </row>
    <row r="51" spans="1:7" ht="15" customHeight="1">
      <c r="A51" s="1185">
        <v>47</v>
      </c>
      <c r="B51" s="1186" t="s">
        <v>947</v>
      </c>
      <c r="C51" s="1189">
        <f>'October midyear adj'!K52</f>
        <v>-248128.26829085813</v>
      </c>
      <c r="D51" s="1189">
        <f>'February midyear adj '!K52</f>
        <v>-50060.9664095591</v>
      </c>
      <c r="E51" s="1188">
        <f t="shared" si="1"/>
        <v>-298189.23470041726</v>
      </c>
      <c r="F51" s="1187">
        <f t="shared" si="2"/>
        <v>0</v>
      </c>
      <c r="G51" s="1187">
        <f t="shared" si="3"/>
        <v>-298189.23470041726</v>
      </c>
    </row>
    <row r="52" spans="1:7" ht="15" customHeight="1">
      <c r="A52" s="1185">
        <v>48</v>
      </c>
      <c r="B52" s="1186" t="s">
        <v>948</v>
      </c>
      <c r="C52" s="1190">
        <f>'October midyear adj'!K53</f>
        <v>494080.26863299886</v>
      </c>
      <c r="D52" s="1190">
        <f>'February midyear adj '!K53</f>
        <v>119186.02971410062</v>
      </c>
      <c r="E52" s="1188">
        <f t="shared" si="1"/>
        <v>613266.29834709945</v>
      </c>
      <c r="F52" s="1187">
        <f t="shared" si="2"/>
        <v>613266.29834709945</v>
      </c>
      <c r="G52" s="1187">
        <f t="shared" si="3"/>
        <v>0</v>
      </c>
    </row>
    <row r="53" spans="1:7" ht="15" customHeight="1">
      <c r="A53" s="1185">
        <v>49</v>
      </c>
      <c r="B53" s="1186" t="s">
        <v>949</v>
      </c>
      <c r="C53" s="1190">
        <f>'October midyear adj'!K54</f>
        <v>2509795.8672136562</v>
      </c>
      <c r="D53" s="1190">
        <f>'February midyear adj '!K54</f>
        <v>-54442.426620686681</v>
      </c>
      <c r="E53" s="1188">
        <f t="shared" si="1"/>
        <v>2455353.4405929693</v>
      </c>
      <c r="F53" s="1187">
        <f t="shared" si="2"/>
        <v>2455353.4405929693</v>
      </c>
      <c r="G53" s="1187">
        <f t="shared" si="3"/>
        <v>0</v>
      </c>
    </row>
    <row r="54" spans="1:7" ht="15" customHeight="1">
      <c r="A54" s="1191">
        <v>50</v>
      </c>
      <c r="B54" s="1192" t="s">
        <v>950</v>
      </c>
      <c r="C54" s="1195">
        <f>'October midyear adj'!K55</f>
        <v>-34204.969730378987</v>
      </c>
      <c r="D54" s="1195">
        <f>'February midyear adj '!K55</f>
        <v>-407609.22262034967</v>
      </c>
      <c r="E54" s="1194">
        <f t="shared" si="1"/>
        <v>-441814.19235072867</v>
      </c>
      <c r="F54" s="1193">
        <f t="shared" si="2"/>
        <v>0</v>
      </c>
      <c r="G54" s="1193">
        <f t="shared" si="3"/>
        <v>-441814.19235072867</v>
      </c>
    </row>
    <row r="55" spans="1:7" ht="15" customHeight="1">
      <c r="A55" s="1185">
        <v>51</v>
      </c>
      <c r="B55" s="1186" t="s">
        <v>951</v>
      </c>
      <c r="C55" s="1189">
        <f>'October midyear adj'!K56</f>
        <v>603202.20237581583</v>
      </c>
      <c r="D55" s="1189">
        <f>'February midyear adj '!K56</f>
        <v>-178338.04244154555</v>
      </c>
      <c r="E55" s="1188">
        <f t="shared" si="1"/>
        <v>424864.15993427031</v>
      </c>
      <c r="F55" s="1187">
        <f t="shared" si="2"/>
        <v>424864.15993427031</v>
      </c>
      <c r="G55" s="1187">
        <f t="shared" si="3"/>
        <v>0</v>
      </c>
    </row>
    <row r="56" spans="1:7" ht="15" customHeight="1">
      <c r="A56" s="1185">
        <v>52</v>
      </c>
      <c r="B56" s="1186" t="s">
        <v>667</v>
      </c>
      <c r="C56" s="1189">
        <f>'October midyear adj'!K57</f>
        <v>2415871.8480790854</v>
      </c>
      <c r="D56" s="1189">
        <f>'February midyear adj '!K57</f>
        <v>-601145.6818234172</v>
      </c>
      <c r="E56" s="1188">
        <f t="shared" si="1"/>
        <v>1814726.1662556683</v>
      </c>
      <c r="F56" s="1187">
        <f t="shared" si="2"/>
        <v>1814726.1662556683</v>
      </c>
      <c r="G56" s="1187">
        <f t="shared" si="3"/>
        <v>0</v>
      </c>
    </row>
    <row r="57" spans="1:7" ht="15" customHeight="1">
      <c r="A57" s="1185">
        <v>53</v>
      </c>
      <c r="B57" s="1186" t="s">
        <v>952</v>
      </c>
      <c r="C57" s="1190">
        <f>'October midyear adj'!K58</f>
        <v>1532685.2597654962</v>
      </c>
      <c r="D57" s="1190">
        <f>'February midyear adj '!K58</f>
        <v>16305.162337930811</v>
      </c>
      <c r="E57" s="1188">
        <f t="shared" si="1"/>
        <v>1548990.4221034271</v>
      </c>
      <c r="F57" s="1187">
        <f t="shared" si="2"/>
        <v>1548990.4221034271</v>
      </c>
      <c r="G57" s="1187">
        <f t="shared" si="3"/>
        <v>0</v>
      </c>
    </row>
    <row r="58" spans="1:7" ht="15" customHeight="1">
      <c r="A58" s="1185">
        <v>54</v>
      </c>
      <c r="B58" s="1186" t="s">
        <v>953</v>
      </c>
      <c r="C58" s="1190">
        <f>'October midyear adj'!K59</f>
        <v>217989.52253759999</v>
      </c>
      <c r="D58" s="1190">
        <f>'February midyear adj '!K59</f>
        <v>-36331.587089599998</v>
      </c>
      <c r="E58" s="1188">
        <f t="shared" si="1"/>
        <v>181657.93544799997</v>
      </c>
      <c r="F58" s="1187">
        <f t="shared" si="2"/>
        <v>181657.93544799997</v>
      </c>
      <c r="G58" s="1187">
        <f t="shared" si="3"/>
        <v>0</v>
      </c>
    </row>
    <row r="59" spans="1:7" ht="15" customHeight="1">
      <c r="A59" s="1191">
        <v>55</v>
      </c>
      <c r="B59" s="1192" t="s">
        <v>954</v>
      </c>
      <c r="C59" s="1195">
        <f>'October midyear adj'!K60</f>
        <v>603104.87673502625</v>
      </c>
      <c r="D59" s="1195">
        <f>'February midyear adj '!K60</f>
        <v>-260210.57181712828</v>
      </c>
      <c r="E59" s="1194">
        <f t="shared" si="1"/>
        <v>342894.30491789797</v>
      </c>
      <c r="F59" s="1193">
        <f t="shared" si="2"/>
        <v>342894.30491789797</v>
      </c>
      <c r="G59" s="1193">
        <f t="shared" si="3"/>
        <v>0</v>
      </c>
    </row>
    <row r="60" spans="1:7" ht="15" customHeight="1">
      <c r="A60" s="1185">
        <v>56</v>
      </c>
      <c r="B60" s="1186" t="s">
        <v>652</v>
      </c>
      <c r="C60" s="1189">
        <f>'October midyear adj'!K61</f>
        <v>-137143.68731669051</v>
      </c>
      <c r="D60" s="1189">
        <f>'February midyear adj '!K61</f>
        <v>-88571.964725362632</v>
      </c>
      <c r="E60" s="1188">
        <f t="shared" si="1"/>
        <v>-225715.65204205315</v>
      </c>
      <c r="F60" s="1187">
        <f t="shared" si="2"/>
        <v>0</v>
      </c>
      <c r="G60" s="1187">
        <f t="shared" si="3"/>
        <v>-225715.65204205315</v>
      </c>
    </row>
    <row r="61" spans="1:7" ht="15" customHeight="1">
      <c r="A61" s="1185">
        <v>57</v>
      </c>
      <c r="B61" s="1186" t="s">
        <v>955</v>
      </c>
      <c r="C61" s="1189">
        <f>'October midyear adj'!K62</f>
        <v>433582.91483978217</v>
      </c>
      <c r="D61" s="1189">
        <f>'February midyear adj '!K62</f>
        <v>-15862.789567309104</v>
      </c>
      <c r="E61" s="1188">
        <f t="shared" si="1"/>
        <v>417720.12527247309</v>
      </c>
      <c r="F61" s="1187">
        <f t="shared" si="2"/>
        <v>417720.12527247309</v>
      </c>
      <c r="G61" s="1187">
        <f t="shared" si="3"/>
        <v>0</v>
      </c>
    </row>
    <row r="62" spans="1:7" ht="15" customHeight="1">
      <c r="A62" s="1185">
        <v>58</v>
      </c>
      <c r="B62" s="1186" t="s">
        <v>956</v>
      </c>
      <c r="C62" s="1190">
        <f>'October midyear adj'!K63</f>
        <v>1375861.1577609237</v>
      </c>
      <c r="D62" s="1190">
        <f>'February midyear adj '!K63</f>
        <v>-173478.14597855124</v>
      </c>
      <c r="E62" s="1188">
        <f t="shared" si="1"/>
        <v>1202383.0117823724</v>
      </c>
      <c r="F62" s="1187">
        <f t="shared" si="2"/>
        <v>1202383.0117823724</v>
      </c>
      <c r="G62" s="1187">
        <f t="shared" si="3"/>
        <v>0</v>
      </c>
    </row>
    <row r="63" spans="1:7" ht="15" customHeight="1">
      <c r="A63" s="1185">
        <v>59</v>
      </c>
      <c r="B63" s="1186" t="s">
        <v>957</v>
      </c>
      <c r="C63" s="1190">
        <f>'October midyear adj'!K64</f>
        <v>469226.08350301522</v>
      </c>
      <c r="D63" s="1190">
        <f>'February midyear adj '!K64</f>
        <v>-34501.917904633476</v>
      </c>
      <c r="E63" s="1188">
        <f t="shared" si="1"/>
        <v>434724.16559838178</v>
      </c>
      <c r="F63" s="1187">
        <f t="shared" si="2"/>
        <v>434724.16559838178</v>
      </c>
      <c r="G63" s="1187">
        <f t="shared" si="3"/>
        <v>0</v>
      </c>
    </row>
    <row r="64" spans="1:7" ht="15" customHeight="1">
      <c r="A64" s="1191">
        <v>60</v>
      </c>
      <c r="B64" s="1192" t="s">
        <v>958</v>
      </c>
      <c r="C64" s="1195">
        <f>'October midyear adj'!K65</f>
        <v>-1217245.2736843571</v>
      </c>
      <c r="D64" s="1195">
        <f>'February midyear adj '!K65</f>
        <v>-190022.45222674351</v>
      </c>
      <c r="E64" s="1194">
        <f t="shared" si="1"/>
        <v>-1407267.7259111006</v>
      </c>
      <c r="F64" s="1193">
        <f t="shared" si="2"/>
        <v>0</v>
      </c>
      <c r="G64" s="1193">
        <f t="shared" si="3"/>
        <v>-1407267.7259111006</v>
      </c>
    </row>
    <row r="65" spans="1:7" ht="15" customHeight="1">
      <c r="A65" s="1185">
        <v>61</v>
      </c>
      <c r="B65" s="1186" t="s">
        <v>959</v>
      </c>
      <c r="C65" s="1189">
        <f>'October midyear adj'!K66</f>
        <v>390786.30116931134</v>
      </c>
      <c r="D65" s="1189">
        <f>'February midyear adj '!K66</f>
        <v>-99575.355586411053</v>
      </c>
      <c r="E65" s="1188">
        <f t="shared" si="1"/>
        <v>291210.94558290031</v>
      </c>
      <c r="F65" s="1187">
        <f t="shared" si="2"/>
        <v>291210.94558290031</v>
      </c>
      <c r="G65" s="1187">
        <f t="shared" si="3"/>
        <v>0</v>
      </c>
    </row>
    <row r="66" spans="1:7" ht="15" customHeight="1">
      <c r="A66" s="1185">
        <v>62</v>
      </c>
      <c r="B66" s="1186" t="s">
        <v>960</v>
      </c>
      <c r="C66" s="1189">
        <f>'October midyear adj'!K67</f>
        <v>-186582.93522825261</v>
      </c>
      <c r="D66" s="1189">
        <f>'February midyear adj '!K67</f>
        <v>18056.413086605091</v>
      </c>
      <c r="E66" s="1188">
        <f t="shared" si="1"/>
        <v>-168526.52214164753</v>
      </c>
      <c r="F66" s="1187">
        <f t="shared" si="2"/>
        <v>0</v>
      </c>
      <c r="G66" s="1187">
        <f t="shared" si="3"/>
        <v>-168526.52214164753</v>
      </c>
    </row>
    <row r="67" spans="1:7" ht="15" customHeight="1">
      <c r="A67" s="1185">
        <v>63</v>
      </c>
      <c r="B67" s="1186" t="s">
        <v>961</v>
      </c>
      <c r="C67" s="1190">
        <f>'October midyear adj'!K68</f>
        <v>-180130.45334566955</v>
      </c>
      <c r="D67" s="1190">
        <f>'February midyear adj '!K68</f>
        <v>-15010.87111213913</v>
      </c>
      <c r="E67" s="1188">
        <f t="shared" si="1"/>
        <v>-195141.32445780869</v>
      </c>
      <c r="F67" s="1187">
        <f t="shared" si="2"/>
        <v>0</v>
      </c>
      <c r="G67" s="1187">
        <f t="shared" si="3"/>
        <v>-195141.32445780869</v>
      </c>
    </row>
    <row r="68" spans="1:7" ht="15" customHeight="1">
      <c r="A68" s="1185">
        <v>64</v>
      </c>
      <c r="B68" s="1186" t="s">
        <v>962</v>
      </c>
      <c r="C68" s="1190">
        <f>'October midyear adj'!K69</f>
        <v>-38697.868444643886</v>
      </c>
      <c r="D68" s="1190">
        <f>'February midyear adj '!K69</f>
        <v>-19348.934222321943</v>
      </c>
      <c r="E68" s="1188">
        <f t="shared" si="1"/>
        <v>-58046.802666965828</v>
      </c>
      <c r="F68" s="1187">
        <f t="shared" si="2"/>
        <v>0</v>
      </c>
      <c r="G68" s="1187">
        <f t="shared" si="3"/>
        <v>-58046.802666965828</v>
      </c>
    </row>
    <row r="69" spans="1:7" ht="15" customHeight="1">
      <c r="A69" s="1191">
        <v>65</v>
      </c>
      <c r="B69" s="1192" t="s">
        <v>963</v>
      </c>
      <c r="C69" s="1195">
        <f>'October midyear adj'!K70</f>
        <v>144130.44169674537</v>
      </c>
      <c r="D69" s="1195">
        <f>'February midyear adj '!K70</f>
        <v>-173490.34648682314</v>
      </c>
      <c r="E69" s="1194">
        <f t="shared" si="1"/>
        <v>-29359.904790077766</v>
      </c>
      <c r="F69" s="1193">
        <f t="shared" si="2"/>
        <v>0</v>
      </c>
      <c r="G69" s="1193">
        <f t="shared" si="3"/>
        <v>-29359.904790077766</v>
      </c>
    </row>
    <row r="70" spans="1:7" ht="15" customHeight="1">
      <c r="A70" s="1196">
        <v>66</v>
      </c>
      <c r="B70" s="1197" t="s">
        <v>964</v>
      </c>
      <c r="C70" s="1190">
        <f>'October midyear adj'!K71</f>
        <v>27579.94444304116</v>
      </c>
      <c r="D70" s="1190">
        <f>'February midyear adj '!K71</f>
        <v>-58607.381941462467</v>
      </c>
      <c r="E70" s="1188">
        <f t="shared" ref="E70:E73" si="4">SUM(C70:D70)</f>
        <v>-31027.437498421306</v>
      </c>
      <c r="F70" s="1187">
        <f t="shared" ref="F70:F73" si="5">IF(E70&gt;0,E70,0)</f>
        <v>0</v>
      </c>
      <c r="G70" s="1187">
        <f t="shared" ref="G70:G73" si="6">IF(E70&lt;0,E70,0)</f>
        <v>-31027.437498421306</v>
      </c>
    </row>
    <row r="71" spans="1:7" ht="15" customHeight="1">
      <c r="A71" s="1185">
        <v>67</v>
      </c>
      <c r="B71" s="1186" t="s">
        <v>965</v>
      </c>
      <c r="C71" s="1189">
        <f>'October midyear adj'!K72</f>
        <v>1131244.5028692714</v>
      </c>
      <c r="D71" s="1189">
        <f>'February midyear adj '!K72</f>
        <v>-25710.102337937984</v>
      </c>
      <c r="E71" s="1188">
        <f t="shared" si="4"/>
        <v>1105534.4005313334</v>
      </c>
      <c r="F71" s="1187">
        <f t="shared" si="5"/>
        <v>1105534.4005313334</v>
      </c>
      <c r="G71" s="1187">
        <f t="shared" si="6"/>
        <v>0</v>
      </c>
    </row>
    <row r="72" spans="1:7" ht="15" customHeight="1">
      <c r="A72" s="1185">
        <v>68</v>
      </c>
      <c r="B72" s="1186" t="s">
        <v>966</v>
      </c>
      <c r="C72" s="1189">
        <f>'October midyear adj'!K73</f>
        <v>-425957.97658281529</v>
      </c>
      <c r="D72" s="1189">
        <f>'February midyear adj '!K73</f>
        <v>79867.120609277859</v>
      </c>
      <c r="E72" s="1188">
        <f t="shared" si="4"/>
        <v>-346090.85597353743</v>
      </c>
      <c r="F72" s="1187">
        <f t="shared" si="5"/>
        <v>0</v>
      </c>
      <c r="G72" s="1187">
        <f t="shared" si="6"/>
        <v>-346090.85597353743</v>
      </c>
    </row>
    <row r="73" spans="1:7" ht="15" customHeight="1">
      <c r="A73" s="1198">
        <v>69</v>
      </c>
      <c r="B73" s="1199" t="s">
        <v>967</v>
      </c>
      <c r="C73" s="1189">
        <f>'October midyear adj'!K74</f>
        <v>402934.62295640603</v>
      </c>
      <c r="D73" s="1189">
        <f>'February midyear adj '!K74</f>
        <v>-83686.421690945863</v>
      </c>
      <c r="E73" s="1188">
        <f t="shared" si="4"/>
        <v>319248.20126546017</v>
      </c>
      <c r="F73" s="1187">
        <f t="shared" si="5"/>
        <v>319248.20126546017</v>
      </c>
      <c r="G73" s="1187">
        <f t="shared" si="6"/>
        <v>0</v>
      </c>
    </row>
    <row r="74" spans="1:7" s="1204" customFormat="1" ht="15.75" thickBot="1">
      <c r="A74" s="1200"/>
      <c r="B74" s="1201" t="s">
        <v>968</v>
      </c>
      <c r="C74" s="1202">
        <f>SUM(C5:C73)</f>
        <v>33389802.403719958</v>
      </c>
      <c r="D74" s="1202">
        <f>SUM(D5:D73)</f>
        <v>-6534738.7677073088</v>
      </c>
      <c r="E74" s="1203">
        <f>SUM(E5:E73)</f>
        <v>26855063.636012644</v>
      </c>
      <c r="F74" s="1202">
        <f>SUM(F5:F73)</f>
        <v>34969509.440788321</v>
      </c>
      <c r="G74" s="1202">
        <f>SUM(G5:G73)</f>
        <v>-8114445.8047756655</v>
      </c>
    </row>
    <row r="75" spans="1:7" ht="6.75" customHeight="1" thickTop="1">
      <c r="A75" s="1205"/>
      <c r="B75" s="1206"/>
      <c r="C75" s="1207"/>
      <c r="D75" s="1207"/>
      <c r="E75" s="1207"/>
      <c r="F75" s="1207"/>
      <c r="G75" s="1208"/>
    </row>
    <row r="76" spans="1:7" ht="12.75" customHeight="1">
      <c r="A76" s="1209"/>
      <c r="B76" s="1209" t="s">
        <v>969</v>
      </c>
      <c r="C76" s="1210">
        <f>'October midyear adj'!K77</f>
        <v>19745.625493132826</v>
      </c>
      <c r="D76" s="1210">
        <f>'February midyear adj '!K77</f>
        <v>0</v>
      </c>
      <c r="E76" s="1188">
        <f t="shared" ref="E76:E77" si="7">SUM(C76:D76)</f>
        <v>19745.625493132826</v>
      </c>
      <c r="F76" s="1211">
        <f t="shared" ref="F76:F77" si="8">IF(E76&gt;0,E76,0)</f>
        <v>19745.625493132826</v>
      </c>
      <c r="G76" s="1212">
        <f t="shared" ref="G76:G77" si="9">IF(E76&lt;0,E76,0)</f>
        <v>0</v>
      </c>
    </row>
    <row r="77" spans="1:7" ht="14.25">
      <c r="A77" s="1198"/>
      <c r="B77" s="1213" t="s">
        <v>970</v>
      </c>
      <c r="C77" s="1214">
        <f>'October midyear adj'!K78</f>
        <v>-30181.997058954272</v>
      </c>
      <c r="D77" s="1215">
        <f>'February midyear adj '!K78</f>
        <v>-57848.827696329019</v>
      </c>
      <c r="E77" s="1216">
        <f t="shared" si="7"/>
        <v>-88030.824755283291</v>
      </c>
      <c r="F77" s="1214">
        <f t="shared" si="8"/>
        <v>0</v>
      </c>
      <c r="G77" s="1214">
        <f t="shared" si="9"/>
        <v>-88030.824755283291</v>
      </c>
    </row>
    <row r="78" spans="1:7" s="1204" customFormat="1" ht="15.75" thickBot="1">
      <c r="A78" s="1217"/>
      <c r="B78" s="1218" t="s">
        <v>971</v>
      </c>
      <c r="C78" s="1219">
        <f>SUM(C76:C77)</f>
        <v>-10436.371565821446</v>
      </c>
      <c r="D78" s="1219">
        <f>SUM(D76:D77)</f>
        <v>-57848.827696329019</v>
      </c>
      <c r="E78" s="1220">
        <f>SUM(E76:E77)</f>
        <v>-68285.199262150461</v>
      </c>
      <c r="F78" s="1219">
        <f t="shared" ref="F78:G78" si="10">SUM(F76:F77)</f>
        <v>19745.625493132826</v>
      </c>
      <c r="G78" s="1219">
        <f t="shared" si="10"/>
        <v>-88030.824755283291</v>
      </c>
    </row>
    <row r="79" spans="1:7" ht="6.75" customHeight="1" thickTop="1">
      <c r="A79" s="1221"/>
      <c r="B79" s="1222"/>
      <c r="C79" s="1222"/>
      <c r="D79" s="1222"/>
      <c r="E79" s="1222"/>
      <c r="F79" s="1222"/>
      <c r="G79" s="1223"/>
    </row>
    <row r="80" spans="1:7" s="1227" customFormat="1" ht="14.25" customHeight="1">
      <c r="A80" s="1224"/>
      <c r="B80" s="1225" t="s">
        <v>972</v>
      </c>
      <c r="C80" s="1214">
        <f>'October midyear adj'!K81</f>
        <v>-35247.924565505455</v>
      </c>
      <c r="D80" s="1214">
        <f>'February midyear adj '!K81</f>
        <v>-47836.469053185974</v>
      </c>
      <c r="E80" s="1226">
        <f>SUM(C80:D80)</f>
        <v>-83084.393618691422</v>
      </c>
      <c r="F80" s="1214">
        <f>IF(E80&gt;0,E80,0)</f>
        <v>0</v>
      </c>
      <c r="G80" s="1214">
        <f>IF(E80&lt;0,E80,0)</f>
        <v>-83084.393618691422</v>
      </c>
    </row>
    <row r="81" spans="1:7" s="1227" customFormat="1" ht="19.5" customHeight="1" thickBot="1">
      <c r="A81" s="1228"/>
      <c r="B81" s="1229" t="s">
        <v>973</v>
      </c>
      <c r="C81" s="1230">
        <f>SUM(C80)</f>
        <v>-35247.924565505455</v>
      </c>
      <c r="D81" s="1230">
        <f>SUM(D80)</f>
        <v>-47836.469053185974</v>
      </c>
      <c r="E81" s="1231">
        <f>SUM(E80)</f>
        <v>-83084.393618691422</v>
      </c>
      <c r="F81" s="1230">
        <f t="shared" ref="F81:G81" si="11">SUM(F80)</f>
        <v>0</v>
      </c>
      <c r="G81" s="1230">
        <f t="shared" si="11"/>
        <v>-83084.393618691422</v>
      </c>
    </row>
    <row r="82" spans="1:7" s="1227" customFormat="1" ht="12" customHeight="1" thickTop="1">
      <c r="A82" s="1232"/>
      <c r="B82" s="1233"/>
      <c r="C82" s="1222"/>
      <c r="D82" s="1222"/>
      <c r="E82" s="1222"/>
      <c r="F82" s="1222"/>
      <c r="G82" s="1223"/>
    </row>
    <row r="83" spans="1:7" s="1227" customFormat="1" ht="12" customHeight="1">
      <c r="A83" s="1224"/>
      <c r="B83" s="1225" t="s">
        <v>974</v>
      </c>
      <c r="C83" s="1214">
        <f>'October midyear adj'!K84</f>
        <v>-95672.938106371948</v>
      </c>
      <c r="D83" s="1214">
        <f>'February midyear adj '!K84</f>
        <v>-12588.54448768052</v>
      </c>
      <c r="E83" s="1226">
        <f>SUM(C83:D83)</f>
        <v>-108261.48259405248</v>
      </c>
      <c r="F83" s="1214">
        <f>IF(E83&gt;0,E83,0)</f>
        <v>0</v>
      </c>
      <c r="G83" s="1214">
        <f>IF(E83&lt;0,E83,0)</f>
        <v>-108261.48259405248</v>
      </c>
    </row>
    <row r="84" spans="1:7" s="1204" customFormat="1" ht="18.75" customHeight="1" thickBot="1">
      <c r="A84" s="1228"/>
      <c r="B84" s="1229" t="s">
        <v>975</v>
      </c>
      <c r="C84" s="1219">
        <f>SUM(C83)</f>
        <v>-95672.938106371948</v>
      </c>
      <c r="D84" s="1219">
        <f>SUM(D83)</f>
        <v>-12588.54448768052</v>
      </c>
      <c r="E84" s="1220">
        <f>SUM(E83)</f>
        <v>-108261.48259405248</v>
      </c>
      <c r="F84" s="1219">
        <f t="shared" ref="F84:G84" si="12">SUM(F83)</f>
        <v>0</v>
      </c>
      <c r="G84" s="1219">
        <f t="shared" si="12"/>
        <v>-108261.48259405248</v>
      </c>
    </row>
    <row r="85" spans="1:7" ht="6.75" customHeight="1" thickTop="1">
      <c r="A85" s="1232"/>
      <c r="B85" s="1233"/>
      <c r="C85" s="1222"/>
      <c r="D85" s="1222"/>
      <c r="E85" s="1222"/>
      <c r="F85" s="1222"/>
      <c r="G85" s="1223"/>
    </row>
    <row r="86" spans="1:7" s="1227" customFormat="1" ht="15" customHeight="1">
      <c r="A86" s="1234" t="s">
        <v>728</v>
      </c>
      <c r="B86" s="1235" t="s">
        <v>976</v>
      </c>
      <c r="C86" s="1236">
        <f>'October midyear adj'!K87</f>
        <v>198006.80058344777</v>
      </c>
      <c r="D86" s="1236">
        <f>'February midyear adj '!K87</f>
        <v>-44551.530131275751</v>
      </c>
      <c r="E86" s="1237">
        <f t="shared" ref="E86:E93" si="13">SUM(C86:D86)</f>
        <v>153455.27045217203</v>
      </c>
      <c r="F86" s="1236">
        <f t="shared" ref="F86:F93" si="14">IF(E86&gt;0,E86,0)</f>
        <v>153455.27045217203</v>
      </c>
      <c r="G86" s="1236">
        <f t="shared" ref="G86:G93" si="15">IF(E86&lt;0,E86,0)</f>
        <v>0</v>
      </c>
    </row>
    <row r="87" spans="1:7" s="1227" customFormat="1" ht="15" customHeight="1">
      <c r="A87" s="1238" t="s">
        <v>730</v>
      </c>
      <c r="B87" s="1239" t="s">
        <v>977</v>
      </c>
      <c r="C87" s="1214">
        <f>'October midyear adj'!K88</f>
        <v>-9178.9801768040106</v>
      </c>
      <c r="D87" s="1214">
        <f>'February midyear adj '!K88</f>
        <v>4589.4900884020053</v>
      </c>
      <c r="E87" s="1226">
        <f t="shared" si="13"/>
        <v>-4589.4900884020053</v>
      </c>
      <c r="F87" s="1214">
        <f t="shared" si="14"/>
        <v>0</v>
      </c>
      <c r="G87" s="1214">
        <f t="shared" si="15"/>
        <v>-4589.4900884020053</v>
      </c>
    </row>
    <row r="88" spans="1:7" s="1227" customFormat="1" ht="15" customHeight="1">
      <c r="A88" s="1238" t="s">
        <v>732</v>
      </c>
      <c r="B88" s="1240" t="s">
        <v>978</v>
      </c>
      <c r="C88" s="1214">
        <f>'October midyear adj'!K89</f>
        <v>899122.09788881114</v>
      </c>
      <c r="D88" s="1214">
        <f>'February midyear adj '!K89</f>
        <v>-12260.755880301971</v>
      </c>
      <c r="E88" s="1226">
        <f t="shared" si="13"/>
        <v>886861.34200850921</v>
      </c>
      <c r="F88" s="1214">
        <f t="shared" si="14"/>
        <v>886861.34200850921</v>
      </c>
      <c r="G88" s="1214">
        <f t="shared" si="15"/>
        <v>0</v>
      </c>
    </row>
    <row r="89" spans="1:7" s="1227" customFormat="1" ht="15" customHeight="1">
      <c r="A89" s="1238" t="s">
        <v>734</v>
      </c>
      <c r="B89" s="1239" t="s">
        <v>979</v>
      </c>
      <c r="C89" s="1214">
        <f>'October midyear adj'!K90</f>
        <v>93882.00070659467</v>
      </c>
      <c r="D89" s="1214">
        <f>'February midyear adj '!K90</f>
        <v>-53646.857546625528</v>
      </c>
      <c r="E89" s="1226">
        <f t="shared" si="13"/>
        <v>40235.143159969142</v>
      </c>
      <c r="F89" s="1214">
        <f t="shared" si="14"/>
        <v>40235.143159969142</v>
      </c>
      <c r="G89" s="1214">
        <f t="shared" si="15"/>
        <v>0</v>
      </c>
    </row>
    <row r="90" spans="1:7" s="1204" customFormat="1" ht="15" customHeight="1">
      <c r="A90" s="1238" t="s">
        <v>736</v>
      </c>
      <c r="B90" s="1239" t="s">
        <v>980</v>
      </c>
      <c r="C90" s="1241">
        <f>'October midyear adj'!K91</f>
        <v>270483.27597516659</v>
      </c>
      <c r="D90" s="1241">
        <f>'February midyear adj '!K91</f>
        <v>-4508.0545995861094</v>
      </c>
      <c r="E90" s="1242">
        <f t="shared" si="13"/>
        <v>265975.22137558047</v>
      </c>
      <c r="F90" s="1241">
        <f t="shared" si="14"/>
        <v>265975.22137558047</v>
      </c>
      <c r="G90" s="1241">
        <f t="shared" si="15"/>
        <v>0</v>
      </c>
    </row>
    <row r="91" spans="1:7" s="1245" customFormat="1" ht="15" customHeight="1">
      <c r="A91" s="1238" t="s">
        <v>738</v>
      </c>
      <c r="B91" s="1239" t="s">
        <v>981</v>
      </c>
      <c r="C91" s="1243">
        <f>'October midyear adj'!K92</f>
        <v>350627.05668894964</v>
      </c>
      <c r="D91" s="1243">
        <f>'February midyear adj '!K92</f>
        <v>-197227.71938753416</v>
      </c>
      <c r="E91" s="1244">
        <f t="shared" si="13"/>
        <v>153399.33730141548</v>
      </c>
      <c r="F91" s="1243">
        <f t="shared" si="14"/>
        <v>153399.33730141548</v>
      </c>
      <c r="G91" s="1243">
        <f t="shared" si="15"/>
        <v>0</v>
      </c>
    </row>
    <row r="92" spans="1:7" s="1227" customFormat="1" ht="15" customHeight="1">
      <c r="A92" s="1238" t="s">
        <v>740</v>
      </c>
      <c r="B92" s="1239" t="s">
        <v>982</v>
      </c>
      <c r="C92" s="1214">
        <f>'October midyear adj'!K93</f>
        <v>-317116.49324718618</v>
      </c>
      <c r="D92" s="1214">
        <f>'February midyear adj '!K93</f>
        <v>17617.582958177009</v>
      </c>
      <c r="E92" s="1226">
        <f t="shared" si="13"/>
        <v>-299498.91028900916</v>
      </c>
      <c r="F92" s="1214">
        <f t="shared" si="14"/>
        <v>0</v>
      </c>
      <c r="G92" s="1214">
        <f t="shared" si="15"/>
        <v>-299498.91028900916</v>
      </c>
    </row>
    <row r="93" spans="1:7" s="1227" customFormat="1" ht="15" customHeight="1">
      <c r="A93" s="1246" t="s">
        <v>742</v>
      </c>
      <c r="B93" s="1247" t="s">
        <v>983</v>
      </c>
      <c r="C93" s="1214">
        <f>'October midyear adj'!K94</f>
        <v>-18538.055844864222</v>
      </c>
      <c r="D93" s="1214">
        <f>'February midyear adj '!K94</f>
        <v>-4634.5139612160556</v>
      </c>
      <c r="E93" s="1226">
        <f t="shared" si="13"/>
        <v>-23172.569806080279</v>
      </c>
      <c r="F93" s="1214">
        <f t="shared" si="14"/>
        <v>0</v>
      </c>
      <c r="G93" s="1214">
        <f t="shared" si="15"/>
        <v>-23172.569806080279</v>
      </c>
    </row>
    <row r="94" spans="1:7" s="1227" customFormat="1" ht="18" customHeight="1" thickBot="1">
      <c r="A94" s="1238"/>
      <c r="B94" s="1248" t="s">
        <v>984</v>
      </c>
      <c r="C94" s="1249">
        <f>SUM(C86:C93)</f>
        <v>1467287.7025741155</v>
      </c>
      <c r="D94" s="1230">
        <f>SUM(D86:D93)</f>
        <v>-294622.35845996049</v>
      </c>
      <c r="E94" s="1231">
        <f>SUM(E86:E93)</f>
        <v>1172665.3441141548</v>
      </c>
      <c r="F94" s="1230">
        <f t="shared" ref="F94:G94" si="16">SUM(F86:F93)</f>
        <v>1499926.3142976463</v>
      </c>
      <c r="G94" s="1230">
        <f t="shared" si="16"/>
        <v>-327260.97018349142</v>
      </c>
    </row>
    <row r="95" spans="1:7" s="1204" customFormat="1" ht="15.75" thickTop="1">
      <c r="A95" s="1250"/>
      <c r="B95" s="1251"/>
      <c r="C95" s="1222"/>
      <c r="D95" s="1222"/>
      <c r="E95" s="1222"/>
      <c r="F95" s="1222"/>
      <c r="G95" s="1223"/>
    </row>
    <row r="96" spans="1:7" s="1204" customFormat="1" ht="13.5" customHeight="1">
      <c r="A96" s="1234"/>
      <c r="B96" s="1252" t="s">
        <v>985</v>
      </c>
      <c r="C96" s="1243">
        <f>'October midyear adj'!K97</f>
        <v>651135.80705186899</v>
      </c>
      <c r="D96" s="1243">
        <f>'February midyear adj '!K97</f>
        <v>11891.766400164843</v>
      </c>
      <c r="E96" s="1244">
        <f t="shared" ref="E96:E97" si="17">SUM(C96:D96)</f>
        <v>663027.5734520338</v>
      </c>
      <c r="F96" s="1243">
        <f t="shared" ref="F96:F97" si="18">IF(E96&gt;0,E96,0)</f>
        <v>663027.5734520338</v>
      </c>
      <c r="G96" s="1243">
        <f t="shared" ref="G96:G97" si="19">IF(E96&lt;0,E96,0)</f>
        <v>0</v>
      </c>
    </row>
    <row r="97" spans="1:7" ht="15.75" customHeight="1">
      <c r="A97" s="1246">
        <v>345</v>
      </c>
      <c r="B97" s="1253" t="s">
        <v>986</v>
      </c>
      <c r="C97" s="1214">
        <f>'October midyear adj'!K98</f>
        <v>1934.7349524267665</v>
      </c>
      <c r="D97" s="1214">
        <f>'February midyear adj '!K98</f>
        <v>-4090.3737340866901</v>
      </c>
      <c r="E97" s="1226">
        <f t="shared" si="17"/>
        <v>-2155.6387816599236</v>
      </c>
      <c r="F97" s="1214">
        <f t="shared" si="18"/>
        <v>0</v>
      </c>
      <c r="G97" s="1214">
        <f t="shared" si="19"/>
        <v>-2155.6387816599236</v>
      </c>
    </row>
    <row r="98" spans="1:7" ht="16.5" customHeight="1" thickBot="1">
      <c r="A98" s="1254"/>
      <c r="B98" s="1229" t="s">
        <v>987</v>
      </c>
      <c r="C98" s="1249">
        <f>SUM(C96:C97)</f>
        <v>653070.54200429574</v>
      </c>
      <c r="D98" s="1230">
        <f>SUM(D96:D97)</f>
        <v>7801.3926660781526</v>
      </c>
      <c r="E98" s="1231">
        <f>SUM(E96:E97)</f>
        <v>660871.93467037391</v>
      </c>
      <c r="F98" s="1230">
        <f t="shared" ref="F98:G98" si="20">SUM(F96:F97)</f>
        <v>663027.5734520338</v>
      </c>
      <c r="G98" s="1230">
        <f t="shared" si="20"/>
        <v>-2155.6387816599236</v>
      </c>
    </row>
    <row r="99" spans="1:7" ht="15.75" thickTop="1">
      <c r="A99" s="1255"/>
      <c r="B99" s="1256"/>
      <c r="C99" s="1222"/>
      <c r="D99" s="1222"/>
      <c r="E99" s="1222"/>
      <c r="F99" s="1222"/>
      <c r="G99" s="1223"/>
    </row>
    <row r="100" spans="1:7" s="1204" customFormat="1" ht="14.25">
      <c r="A100" s="1257"/>
      <c r="B100" s="1258" t="s">
        <v>639</v>
      </c>
      <c r="C100" s="1241">
        <f>'October midyear adj'!K101</f>
        <v>162731.19734329655</v>
      </c>
      <c r="D100" s="1241">
        <f>'February midyear adj '!K101</f>
        <v>-28477.959535076898</v>
      </c>
      <c r="E100" s="1242">
        <f t="shared" ref="E100:E104" si="21">SUM(C100:D100)</f>
        <v>134253.23780821965</v>
      </c>
      <c r="F100" s="1241">
        <f t="shared" ref="F100:F104" si="22">IF(E100&gt;0,E100,0)</f>
        <v>134253.23780821965</v>
      </c>
      <c r="G100" s="1241">
        <f t="shared" ref="G100:G104" si="23">IF(E100&lt;0,E100,0)</f>
        <v>0</v>
      </c>
    </row>
    <row r="101" spans="1:7" s="1204" customFormat="1" ht="14.25">
      <c r="A101" s="1257"/>
      <c r="B101" s="1258" t="s">
        <v>640</v>
      </c>
      <c r="C101" s="1241">
        <v>0</v>
      </c>
      <c r="D101" s="1241">
        <f>'February midyear adj '!K102</f>
        <v>2989.943668775717</v>
      </c>
      <c r="E101" s="1242">
        <f t="shared" si="21"/>
        <v>2989.943668775717</v>
      </c>
      <c r="F101" s="1241">
        <f t="shared" si="22"/>
        <v>2989.943668775717</v>
      </c>
      <c r="G101" s="1241">
        <f t="shared" si="23"/>
        <v>0</v>
      </c>
    </row>
    <row r="102" spans="1:7" ht="13.5" customHeight="1">
      <c r="A102" s="1257"/>
      <c r="B102" s="1258" t="s">
        <v>641</v>
      </c>
      <c r="C102" s="1243">
        <f>'October midyear adj'!K102</f>
        <v>0</v>
      </c>
      <c r="D102" s="1243">
        <f>'February midyear adj '!K103</f>
        <v>0</v>
      </c>
      <c r="E102" s="1244">
        <f t="shared" si="21"/>
        <v>0</v>
      </c>
      <c r="F102" s="1243">
        <f t="shared" si="22"/>
        <v>0</v>
      </c>
      <c r="G102" s="1243">
        <f t="shared" si="23"/>
        <v>0</v>
      </c>
    </row>
    <row r="103" spans="1:7" s="1227" customFormat="1" ht="12.75" customHeight="1">
      <c r="A103" s="1257"/>
      <c r="B103" s="1258" t="s">
        <v>642</v>
      </c>
      <c r="C103" s="1214">
        <f>'October midyear adj'!K103</f>
        <v>-19966.780152319465</v>
      </c>
      <c r="D103" s="1214">
        <f>'February midyear adj '!K104</f>
        <v>3327.7966920532444</v>
      </c>
      <c r="E103" s="1216">
        <f t="shared" si="21"/>
        <v>-16638.983460266219</v>
      </c>
      <c r="F103" s="1214">
        <f t="shared" si="22"/>
        <v>0</v>
      </c>
      <c r="G103" s="1214">
        <f t="shared" si="23"/>
        <v>-16638.983460266219</v>
      </c>
    </row>
    <row r="104" spans="1:7" s="1227" customFormat="1" ht="12.75" customHeight="1">
      <c r="A104" s="1257"/>
      <c r="B104" s="1259" t="s">
        <v>643</v>
      </c>
      <c r="C104" s="1214">
        <f>'October midyear adj'!K104</f>
        <v>-12397.988398658646</v>
      </c>
      <c r="D104" s="1214">
        <f>'February midyear adj '!K105</f>
        <v>6198.9941993293232</v>
      </c>
      <c r="E104" s="1216">
        <f t="shared" si="21"/>
        <v>-6198.9941993293232</v>
      </c>
      <c r="F104" s="1214">
        <f t="shared" si="22"/>
        <v>0</v>
      </c>
      <c r="G104" s="1214">
        <f t="shared" si="23"/>
        <v>-6198.9941993293232</v>
      </c>
    </row>
    <row r="105" spans="1:7" s="1227" customFormat="1" ht="16.5" customHeight="1" thickBot="1">
      <c r="A105" s="1260">
        <v>343001</v>
      </c>
      <c r="B105" s="1218" t="s">
        <v>988</v>
      </c>
      <c r="C105" s="1249">
        <f>SUM(C100:C104)</f>
        <v>130366.42879231843</v>
      </c>
      <c r="D105" s="1230">
        <f>SUM(D100:D104)</f>
        <v>-15961.224974918614</v>
      </c>
      <c r="E105" s="1261">
        <f>SUM(E100:E104)</f>
        <v>114405.20381739984</v>
      </c>
      <c r="F105" s="1230">
        <f t="shared" ref="F105:G105" si="24">SUM(F100:F104)</f>
        <v>137243.18147699538</v>
      </c>
      <c r="G105" s="1230">
        <f t="shared" si="24"/>
        <v>-22837.977659595541</v>
      </c>
    </row>
    <row r="106" spans="1:7" s="1227" customFormat="1" ht="12.75" customHeight="1" thickTop="1">
      <c r="A106" s="1262"/>
      <c r="B106" s="1263"/>
      <c r="C106" s="1222"/>
      <c r="D106" s="1222"/>
      <c r="E106" s="1222"/>
      <c r="F106" s="1222"/>
      <c r="G106" s="1223"/>
    </row>
    <row r="107" spans="1:7" s="1227" customFormat="1" ht="12.75" customHeight="1">
      <c r="A107" s="1257"/>
      <c r="B107" s="1258" t="s">
        <v>652</v>
      </c>
      <c r="C107" s="1214">
        <f>'October midyear adj'!K107</f>
        <v>382859.46042576106</v>
      </c>
      <c r="D107" s="1214">
        <f>'February midyear adj '!K108</f>
        <v>2857.1601524310527</v>
      </c>
      <c r="E107" s="1216">
        <f t="shared" ref="E107:E110" si="25">SUM(C107:D107)</f>
        <v>385716.62057819212</v>
      </c>
      <c r="F107" s="1214">
        <f t="shared" ref="F107:F110" si="26">IF(E107&gt;0,E107,0)</f>
        <v>385716.62057819212</v>
      </c>
      <c r="G107" s="1214">
        <f t="shared" ref="G107:G110" si="27">IF(E107&lt;0,E107,0)</f>
        <v>0</v>
      </c>
    </row>
    <row r="108" spans="1:7" s="1227" customFormat="1" ht="12.75" customHeight="1">
      <c r="A108" s="1257"/>
      <c r="B108" s="1258" t="s">
        <v>653</v>
      </c>
      <c r="C108" s="1214">
        <f>'October midyear adj'!K108</f>
        <v>-30628.497090320372</v>
      </c>
      <c r="D108" s="1214">
        <f>'February midyear adj '!K109</f>
        <v>0</v>
      </c>
      <c r="E108" s="1216">
        <f t="shared" si="25"/>
        <v>-30628.497090320372</v>
      </c>
      <c r="F108" s="1214">
        <f t="shared" si="26"/>
        <v>0</v>
      </c>
      <c r="G108" s="1214">
        <f t="shared" si="27"/>
        <v>-30628.497090320372</v>
      </c>
    </row>
    <row r="109" spans="1:7" s="1227" customFormat="1" ht="12.75" customHeight="1">
      <c r="A109" s="1257"/>
      <c r="B109" s="1258" t="s">
        <v>654</v>
      </c>
      <c r="C109" s="1214">
        <f>'October midyear adj'!K109</f>
        <v>-14561.141857532733</v>
      </c>
      <c r="D109" s="1214">
        <f>'February midyear adj '!K110</f>
        <v>-2426.8569762554557</v>
      </c>
      <c r="E109" s="1216">
        <f t="shared" si="25"/>
        <v>-16987.998833788188</v>
      </c>
      <c r="F109" s="1214">
        <f t="shared" si="26"/>
        <v>0</v>
      </c>
      <c r="G109" s="1214">
        <f t="shared" si="27"/>
        <v>-16987.998833788188</v>
      </c>
    </row>
    <row r="110" spans="1:7" s="1227" customFormat="1" ht="12.75" customHeight="1">
      <c r="A110" s="1257"/>
      <c r="B110" s="1264" t="s">
        <v>655</v>
      </c>
      <c r="C110" s="1214">
        <f>'October midyear adj'!K110</f>
        <v>0</v>
      </c>
      <c r="D110" s="1214">
        <f>'February midyear adj '!K111</f>
        <v>0</v>
      </c>
      <c r="E110" s="1216">
        <f t="shared" si="25"/>
        <v>0</v>
      </c>
      <c r="F110" s="1214">
        <f t="shared" si="26"/>
        <v>0</v>
      </c>
      <c r="G110" s="1214">
        <f t="shared" si="27"/>
        <v>0</v>
      </c>
    </row>
    <row r="111" spans="1:7" s="1227" customFormat="1" ht="16.5" customHeight="1" thickBot="1">
      <c r="A111" s="1260">
        <v>341001</v>
      </c>
      <c r="B111" s="1218" t="s">
        <v>989</v>
      </c>
      <c r="C111" s="1249">
        <f>SUM(C107:C110)</f>
        <v>337669.82147790794</v>
      </c>
      <c r="D111" s="1230">
        <f>SUM(D107:D110)</f>
        <v>430.30317617559695</v>
      </c>
      <c r="E111" s="1261">
        <f>SUM(E107:E110)</f>
        <v>338100.12465408351</v>
      </c>
      <c r="F111" s="1230">
        <f t="shared" ref="F111:G111" si="28">SUM(F107:F110)</f>
        <v>385716.62057819212</v>
      </c>
      <c r="G111" s="1265">
        <f t="shared" si="28"/>
        <v>-47616.49592410856</v>
      </c>
    </row>
    <row r="112" spans="1:7" s="1227" customFormat="1" ht="12.75" customHeight="1" thickTop="1">
      <c r="A112" s="1262"/>
      <c r="B112" s="1263"/>
      <c r="C112" s="1222"/>
      <c r="D112" s="1222"/>
      <c r="E112" s="1222"/>
      <c r="F112" s="1222"/>
      <c r="G112" s="1223"/>
    </row>
    <row r="113" spans="1:7" s="1227" customFormat="1" ht="12.75" customHeight="1">
      <c r="A113" s="1257"/>
      <c r="B113" s="1258" t="s">
        <v>662</v>
      </c>
      <c r="C113" s="1214">
        <f>'October midyear adj'!K113</f>
        <v>367821.58050062205</v>
      </c>
      <c r="D113" s="1214">
        <f>'February midyear adj '!K114</f>
        <v>23988.363945692745</v>
      </c>
      <c r="E113" s="1216">
        <f t="shared" ref="E113:E118" si="29">SUM(C113:D113)</f>
        <v>391809.94444631477</v>
      </c>
      <c r="F113" s="1214">
        <f t="shared" ref="F113:F118" si="30">IF(E113&gt;0,E113,0)</f>
        <v>391809.94444631477</v>
      </c>
      <c r="G113" s="1214">
        <f t="shared" ref="G113:G118" si="31">IF(E113&lt;0,E113,0)</f>
        <v>0</v>
      </c>
    </row>
    <row r="114" spans="1:7" ht="12.75" customHeight="1">
      <c r="A114" s="1257"/>
      <c r="B114" s="1258" t="s">
        <v>663</v>
      </c>
      <c r="C114" s="1214">
        <f>'October midyear adj'!K114</f>
        <v>59807.668514695251</v>
      </c>
      <c r="D114" s="1214">
        <f>'February midyear adj '!K115</f>
        <v>1993.5889504898416</v>
      </c>
      <c r="E114" s="1216">
        <f t="shared" si="29"/>
        <v>61801.257465185095</v>
      </c>
      <c r="F114" s="1214">
        <f t="shared" si="30"/>
        <v>61801.257465185095</v>
      </c>
      <c r="G114" s="1214">
        <f t="shared" si="31"/>
        <v>0</v>
      </c>
    </row>
    <row r="115" spans="1:7" ht="12.75" customHeight="1">
      <c r="A115" s="1257"/>
      <c r="B115" s="1258" t="s">
        <v>664</v>
      </c>
      <c r="C115" s="1214">
        <f>'October midyear adj'!K115</f>
        <v>5020.4034646748296</v>
      </c>
      <c r="D115" s="1214">
        <f>'February midyear adj '!K116</f>
        <v>0</v>
      </c>
      <c r="E115" s="1216">
        <f t="shared" si="29"/>
        <v>5020.4034646748296</v>
      </c>
      <c r="F115" s="1214">
        <f t="shared" si="30"/>
        <v>5020.4034646748296</v>
      </c>
      <c r="G115" s="1214">
        <f t="shared" si="31"/>
        <v>0</v>
      </c>
    </row>
    <row r="116" spans="1:7" ht="12.75" customHeight="1">
      <c r="A116" s="1257"/>
      <c r="B116" s="1258" t="s">
        <v>665</v>
      </c>
      <c r="C116" s="1214">
        <f>'October midyear adj'!K116</f>
        <v>3184.4393213149524</v>
      </c>
      <c r="D116" s="1214">
        <f>'February midyear adj '!K117</f>
        <v>0</v>
      </c>
      <c r="E116" s="1216">
        <f t="shared" si="29"/>
        <v>3184.4393213149524</v>
      </c>
      <c r="F116" s="1214">
        <f t="shared" si="30"/>
        <v>3184.4393213149524</v>
      </c>
      <c r="G116" s="1214">
        <f t="shared" si="31"/>
        <v>0</v>
      </c>
    </row>
    <row r="117" spans="1:7" ht="12.75" customHeight="1">
      <c r="A117" s="1257"/>
      <c r="B117" s="1258" t="s">
        <v>666</v>
      </c>
      <c r="C117" s="1214">
        <f>'October midyear adj'!K117</f>
        <v>8668.0748882982261</v>
      </c>
      <c r="D117" s="1214">
        <f>'February midyear adj '!K118</f>
        <v>0</v>
      </c>
      <c r="E117" s="1216">
        <f t="shared" si="29"/>
        <v>8668.0748882982261</v>
      </c>
      <c r="F117" s="1214">
        <f t="shared" si="30"/>
        <v>8668.0748882982261</v>
      </c>
      <c r="G117" s="1214">
        <f t="shared" si="31"/>
        <v>0</v>
      </c>
    </row>
    <row r="118" spans="1:7" ht="12.75" customHeight="1">
      <c r="A118" s="1257"/>
      <c r="B118" s="1258" t="s">
        <v>667</v>
      </c>
      <c r="C118" s="1214">
        <f>'October midyear adj'!K118</f>
        <v>0</v>
      </c>
      <c r="D118" s="1214">
        <f>'February midyear adj '!K119</f>
        <v>0</v>
      </c>
      <c r="E118" s="1216">
        <f t="shared" si="29"/>
        <v>0</v>
      </c>
      <c r="F118" s="1214">
        <f t="shared" si="30"/>
        <v>0</v>
      </c>
      <c r="G118" s="1214">
        <f t="shared" si="31"/>
        <v>0</v>
      </c>
    </row>
    <row r="119" spans="1:7" ht="18" customHeight="1" thickBot="1">
      <c r="A119" s="1260">
        <v>344</v>
      </c>
      <c r="B119" s="1218" t="s">
        <v>990</v>
      </c>
      <c r="C119" s="1249">
        <f>SUM(C113:C118)</f>
        <v>444502.16668960534</v>
      </c>
      <c r="D119" s="1230">
        <f>SUM(D113:D118)</f>
        <v>25981.952896182585</v>
      </c>
      <c r="E119" s="1261">
        <f>SUM(E113:E118)</f>
        <v>470484.11958578788</v>
      </c>
      <c r="F119" s="1230">
        <f t="shared" ref="F119:G119" si="32">SUM(F113:F118)</f>
        <v>470484.11958578788</v>
      </c>
      <c r="G119" s="1265">
        <f t="shared" si="32"/>
        <v>0</v>
      </c>
    </row>
    <row r="120" spans="1:7" ht="12.75" customHeight="1" thickTop="1">
      <c r="A120" s="1266"/>
      <c r="B120" s="1263"/>
      <c r="C120" s="1222"/>
      <c r="D120" s="1222"/>
      <c r="E120" s="1222"/>
      <c r="F120" s="1222"/>
      <c r="G120" s="1223"/>
    </row>
    <row r="121" spans="1:7" ht="16.5" customHeight="1">
      <c r="A121" s="1234"/>
      <c r="B121" s="1267" t="s">
        <v>662</v>
      </c>
      <c r="C121" s="1236">
        <f>'October midyear adj'!K121</f>
        <v>-91955.395125155512</v>
      </c>
      <c r="D121" s="1236">
        <f>'February midyear adj '!K122</f>
        <v>15992.242630461829</v>
      </c>
      <c r="E121" s="1268">
        <f t="shared" ref="E121:E125" si="33">SUM(C121:D121)</f>
        <v>-75963.152494693684</v>
      </c>
      <c r="F121" s="1236">
        <f t="shared" ref="F121:F125" si="34">IF(E121&gt;0,E121,0)</f>
        <v>0</v>
      </c>
      <c r="G121" s="1214">
        <f t="shared" ref="G121:G125" si="35">IF(E121&lt;0,E121,0)</f>
        <v>-75963.152494693684</v>
      </c>
    </row>
    <row r="122" spans="1:7" ht="16.5" customHeight="1">
      <c r="A122" s="1238"/>
      <c r="B122" s="1269" t="s">
        <v>663</v>
      </c>
      <c r="C122" s="1190">
        <f>'October midyear adj'!K122</f>
        <v>199358.89504898415</v>
      </c>
      <c r="D122" s="1214">
        <f>'February midyear adj '!K123</f>
        <v>-19935.889504898416</v>
      </c>
      <c r="E122" s="1216">
        <f t="shared" si="33"/>
        <v>179423.00554408572</v>
      </c>
      <c r="F122" s="1214">
        <f t="shared" si="34"/>
        <v>179423.00554408572</v>
      </c>
      <c r="G122" s="1214">
        <f t="shared" si="35"/>
        <v>0</v>
      </c>
    </row>
    <row r="123" spans="1:7" ht="16.5" customHeight="1">
      <c r="A123" s="1238"/>
      <c r="B123" s="1269" t="s">
        <v>673</v>
      </c>
      <c r="C123" s="1190">
        <v>0</v>
      </c>
      <c r="D123" s="1214">
        <f>'February midyear adj '!K124</f>
        <v>1613.2391376072962</v>
      </c>
      <c r="E123" s="1216">
        <f t="shared" si="33"/>
        <v>1613.2391376072962</v>
      </c>
      <c r="F123" s="1214">
        <f t="shared" si="34"/>
        <v>1613.2391376072962</v>
      </c>
      <c r="G123" s="1214">
        <f t="shared" si="35"/>
        <v>0</v>
      </c>
    </row>
    <row r="124" spans="1:7" ht="16.5" customHeight="1">
      <c r="A124" s="1238"/>
      <c r="B124" s="1269" t="s">
        <v>665</v>
      </c>
      <c r="C124" s="1190">
        <v>0</v>
      </c>
      <c r="D124" s="1214">
        <f>'February midyear adj '!K125</f>
        <v>1592.2196606574762</v>
      </c>
      <c r="E124" s="1216">
        <f t="shared" si="33"/>
        <v>1592.2196606574762</v>
      </c>
      <c r="F124" s="1214">
        <f t="shared" si="34"/>
        <v>1592.2196606574762</v>
      </c>
      <c r="G124" s="1214">
        <f t="shared" si="35"/>
        <v>0</v>
      </c>
    </row>
    <row r="125" spans="1:7" ht="16.5" customHeight="1">
      <c r="A125" s="1246"/>
      <c r="B125" s="1269" t="s">
        <v>667</v>
      </c>
      <c r="C125" s="1190">
        <v>0</v>
      </c>
      <c r="D125" s="1214">
        <f>'February midyear adj '!K126</f>
        <v>2822.2801963540714</v>
      </c>
      <c r="E125" s="1216">
        <f t="shared" si="33"/>
        <v>2822.2801963540714</v>
      </c>
      <c r="F125" s="1214">
        <f t="shared" si="34"/>
        <v>2822.2801963540714</v>
      </c>
      <c r="G125" s="1214">
        <f t="shared" si="35"/>
        <v>0</v>
      </c>
    </row>
    <row r="126" spans="1:7" ht="16.5" customHeight="1" thickBot="1">
      <c r="A126" s="1270">
        <v>348</v>
      </c>
      <c r="B126" s="1218" t="s">
        <v>991</v>
      </c>
      <c r="C126" s="1249">
        <f>SUM(C121:C125)</f>
        <v>107403.49992382864</v>
      </c>
      <c r="D126" s="1230">
        <f>SUM(D121:D125)</f>
        <v>2084.0921201822575</v>
      </c>
      <c r="E126" s="1261">
        <f>SUM(E121:E125)</f>
        <v>109487.59204401087</v>
      </c>
      <c r="F126" s="1271">
        <f>SUM(F121:F125)</f>
        <v>185450.7445387046</v>
      </c>
      <c r="G126" s="1271">
        <f>SUM(G121:G125)</f>
        <v>-75963.152494693684</v>
      </c>
    </row>
    <row r="127" spans="1:7" ht="12.75" customHeight="1" thickTop="1">
      <c r="A127" s="1272"/>
      <c r="B127" s="1273"/>
      <c r="C127" s="1222"/>
      <c r="D127" s="1222"/>
      <c r="E127" s="1222"/>
      <c r="F127" s="1222"/>
      <c r="G127" s="1223"/>
    </row>
    <row r="128" spans="1:7" ht="17.25" customHeight="1">
      <c r="A128" s="1274"/>
      <c r="B128" s="1267" t="s">
        <v>662</v>
      </c>
      <c r="C128" s="1236">
        <f>'October midyear adj'!K125</f>
        <v>-27986.424603308202</v>
      </c>
      <c r="D128" s="1236">
        <f>'February midyear adj '!K129</f>
        <v>3998.0606576154573</v>
      </c>
      <c r="E128" s="1268">
        <f t="shared" ref="E128:E129" si="36">SUM(C128:D128)</f>
        <v>-23988.363945692745</v>
      </c>
      <c r="F128" s="1236">
        <f t="shared" ref="F128:F129" si="37">IF(E128&gt;0,E128,0)</f>
        <v>0</v>
      </c>
      <c r="G128" s="1214">
        <f t="shared" ref="G128:G129" si="38">IF(E128&lt;0,E128,0)</f>
        <v>-23988.363945692745</v>
      </c>
    </row>
    <row r="129" spans="1:7" ht="17.25" customHeight="1">
      <c r="A129" s="1275"/>
      <c r="B129" s="1267" t="s">
        <v>663</v>
      </c>
      <c r="C129" s="1276">
        <f>'October midyear adj'!K126</f>
        <v>39871.779009796832</v>
      </c>
      <c r="D129" s="1236">
        <f>'February midyear adj '!K130</f>
        <v>0</v>
      </c>
      <c r="E129" s="1268">
        <f t="shared" si="36"/>
        <v>39871.779009796832</v>
      </c>
      <c r="F129" s="1236">
        <f t="shared" si="37"/>
        <v>39871.779009796832</v>
      </c>
      <c r="G129" s="1236">
        <f t="shared" si="38"/>
        <v>0</v>
      </c>
    </row>
    <row r="130" spans="1:7" ht="17.25" customHeight="1" thickBot="1">
      <c r="A130" s="1270">
        <v>347</v>
      </c>
      <c r="B130" s="1218" t="s">
        <v>992</v>
      </c>
      <c r="C130" s="1249">
        <f>SUM(C128:C129)</f>
        <v>11885.35440648863</v>
      </c>
      <c r="D130" s="1230">
        <f>SUM(D128:D129)</f>
        <v>3998.0606576154573</v>
      </c>
      <c r="E130" s="1261">
        <f>SUM(E128:E129)</f>
        <v>15883.415064104087</v>
      </c>
      <c r="F130" s="1230">
        <f t="shared" ref="F130:G130" si="39">SUM(F128:F129)</f>
        <v>39871.779009796832</v>
      </c>
      <c r="G130" s="1265">
        <f t="shared" si="39"/>
        <v>-23988.363945692745</v>
      </c>
    </row>
    <row r="131" spans="1:7" ht="12.75" customHeight="1" thickTop="1">
      <c r="A131" s="1277"/>
      <c r="B131" s="1273"/>
      <c r="C131" s="1222"/>
      <c r="D131" s="1222"/>
      <c r="E131" s="1222"/>
      <c r="F131" s="1222"/>
      <c r="G131" s="1223"/>
    </row>
    <row r="132" spans="1:7" ht="15.75" customHeight="1">
      <c r="A132" s="1275"/>
      <c r="B132" s="1278" t="s">
        <v>993</v>
      </c>
      <c r="C132" s="1236">
        <f>'October midyear adj'!K129</f>
        <v>-59042.211663349444</v>
      </c>
      <c r="D132" s="1236">
        <f>'February midyear adj '!K133</f>
        <v>36901.382289593399</v>
      </c>
      <c r="E132" s="1268">
        <f>SUM(C132:D132)</f>
        <v>-22140.829373756045</v>
      </c>
      <c r="F132" s="1236">
        <f>IF(E132&gt;0,E132,0)</f>
        <v>0</v>
      </c>
      <c r="G132" s="1214">
        <f t="shared" ref="G132" si="40">IF(E132&lt;0,E132,0)</f>
        <v>-22140.829373756045</v>
      </c>
    </row>
    <row r="133" spans="1:7" ht="15.75" customHeight="1" thickBot="1">
      <c r="A133" s="1270">
        <v>346</v>
      </c>
      <c r="B133" s="1218" t="s">
        <v>994</v>
      </c>
      <c r="C133" s="1249">
        <f>SUM(C132)</f>
        <v>-59042.211663349444</v>
      </c>
      <c r="D133" s="1230">
        <f>SUM(D132)</f>
        <v>36901.382289593399</v>
      </c>
      <c r="E133" s="1261">
        <f>SUM(E132)</f>
        <v>-22140.829373756045</v>
      </c>
      <c r="F133" s="1230">
        <f t="shared" ref="F133:G133" si="41">SUM(F132)</f>
        <v>0</v>
      </c>
      <c r="G133" s="1265">
        <f t="shared" si="41"/>
        <v>-22140.829373756045</v>
      </c>
    </row>
    <row r="134" spans="1:7" ht="12.75" customHeight="1" thickTop="1">
      <c r="A134" s="1277"/>
      <c r="B134" s="1273"/>
      <c r="C134" s="1222"/>
      <c r="D134" s="1222"/>
      <c r="E134" s="1222"/>
      <c r="F134" s="1222"/>
      <c r="G134" s="1223"/>
    </row>
    <row r="135" spans="1:7" ht="16.5" customHeight="1">
      <c r="A135" s="1257">
        <v>396</v>
      </c>
      <c r="B135" s="1258" t="s">
        <v>995</v>
      </c>
      <c r="C135" s="1236">
        <f>'October midyear adj'!K132</f>
        <v>-3538895.5186897186</v>
      </c>
      <c r="D135" s="1236">
        <f>'February midyear adj '!K136</f>
        <v>305705.5053330363</v>
      </c>
      <c r="E135" s="1268">
        <f t="shared" ref="E135:E139" si="42">SUM(C135:D135)</f>
        <v>-3233190.0133566824</v>
      </c>
      <c r="F135" s="1236">
        <f t="shared" ref="F135:F139" si="43">IF(E135&gt;0,E135,0)</f>
        <v>0</v>
      </c>
      <c r="G135" s="1214">
        <f t="shared" ref="G135:G139" si="44">IF(E135&lt;0,E135,0)</f>
        <v>-3233190.0133566824</v>
      </c>
    </row>
    <row r="136" spans="1:7" ht="16.5" customHeight="1">
      <c r="A136" s="1257">
        <v>396201</v>
      </c>
      <c r="B136" s="1258" t="s">
        <v>996</v>
      </c>
      <c r="C136" s="1214">
        <f>'October midyear adj'!K133</f>
        <v>-194927.50873702278</v>
      </c>
      <c r="D136" s="1214">
        <f>'February midyear adj '!K137</f>
        <v>-7694.5069238298474</v>
      </c>
      <c r="E136" s="1216">
        <f t="shared" si="42"/>
        <v>-202622.01566085263</v>
      </c>
      <c r="F136" s="1214">
        <f t="shared" si="43"/>
        <v>0</v>
      </c>
      <c r="G136" s="1214">
        <f t="shared" si="44"/>
        <v>-202622.01566085263</v>
      </c>
    </row>
    <row r="137" spans="1:7" ht="16.5" customHeight="1">
      <c r="A137" s="1257">
        <v>396200</v>
      </c>
      <c r="B137" s="1279" t="s">
        <v>997</v>
      </c>
      <c r="C137" s="1214">
        <f>'October midyear adj'!K134</f>
        <v>-65301.710099800548</v>
      </c>
      <c r="D137" s="1214">
        <f>'February midyear adj '!K138</f>
        <v>-26120.684039920219</v>
      </c>
      <c r="E137" s="1216">
        <f t="shared" si="42"/>
        <v>-91422.394139720767</v>
      </c>
      <c r="F137" s="1214">
        <f t="shared" si="43"/>
        <v>0</v>
      </c>
      <c r="G137" s="1214">
        <f t="shared" si="44"/>
        <v>-91422.394139720767</v>
      </c>
    </row>
    <row r="138" spans="1:7" ht="16.5" customHeight="1">
      <c r="A138" s="1257">
        <v>396202</v>
      </c>
      <c r="B138" s="1280" t="s">
        <v>998</v>
      </c>
      <c r="C138" s="1214">
        <f>'October midyear adj'!K135</f>
        <v>-84702.000797701257</v>
      </c>
      <c r="D138" s="1214">
        <f>'February midyear adj '!K139</f>
        <v>-14117.00013295021</v>
      </c>
      <c r="E138" s="1216">
        <f t="shared" si="42"/>
        <v>-98819.000930651469</v>
      </c>
      <c r="F138" s="1214">
        <f t="shared" si="43"/>
        <v>0</v>
      </c>
      <c r="G138" s="1214">
        <f t="shared" si="44"/>
        <v>-98819.000930651469</v>
      </c>
    </row>
    <row r="139" spans="1:7" ht="16.5" customHeight="1">
      <c r="A139" s="1257">
        <v>396203</v>
      </c>
      <c r="B139" s="1281" t="s">
        <v>999</v>
      </c>
      <c r="C139" s="1214">
        <f>'October midyear adj'!K136</f>
        <v>-55031.671413131182</v>
      </c>
      <c r="D139" s="1214">
        <f>'February midyear adj '!K140</f>
        <v>-51100.837740764669</v>
      </c>
      <c r="E139" s="1216">
        <f t="shared" si="42"/>
        <v>-106132.50915389585</v>
      </c>
      <c r="F139" s="1214">
        <f t="shared" si="43"/>
        <v>0</v>
      </c>
      <c r="G139" s="1214">
        <f t="shared" si="44"/>
        <v>-106132.50915389585</v>
      </c>
    </row>
    <row r="140" spans="1:7" ht="17.25" customHeight="1" thickBot="1">
      <c r="A140" s="1200"/>
      <c r="B140" s="1218" t="s">
        <v>1000</v>
      </c>
      <c r="C140" s="1249">
        <f>SUM(C135:C139)</f>
        <v>-3938858.4097373742</v>
      </c>
      <c r="D140" s="1230">
        <f>SUM(D135:D139)</f>
        <v>206672.47649557138</v>
      </c>
      <c r="E140" s="1261">
        <f>SUM(E135:E139)</f>
        <v>-3732185.9332418032</v>
      </c>
      <c r="F140" s="1230">
        <f t="shared" ref="F140:G140" si="45">SUM(F135:F139)</f>
        <v>0</v>
      </c>
      <c r="G140" s="1230">
        <f t="shared" si="45"/>
        <v>-3732185.9332418032</v>
      </c>
    </row>
    <row r="141" spans="1:7" ht="12.75" customHeight="1" thickTop="1">
      <c r="A141" s="1282"/>
      <c r="B141" s="1283"/>
      <c r="C141" s="1222"/>
      <c r="D141" s="1222"/>
      <c r="E141" s="1222"/>
      <c r="F141" s="1222"/>
      <c r="G141" s="1223"/>
    </row>
    <row r="142" spans="1:7" ht="15.75" customHeight="1">
      <c r="A142" s="1185" t="s">
        <v>1001</v>
      </c>
      <c r="B142" s="1284" t="s">
        <v>1002</v>
      </c>
      <c r="C142" s="1236">
        <f>'October midyear adj'!K139</f>
        <v>-88434.476749118752</v>
      </c>
      <c r="D142" s="1236">
        <f>'February midyear adj '!K143</f>
        <v>0</v>
      </c>
      <c r="E142" s="1268">
        <f t="shared" ref="E142:E191" si="46">SUM(C142:D142)</f>
        <v>-88434.476749118752</v>
      </c>
      <c r="F142" s="1236">
        <f t="shared" ref="F142:F191" si="47">IF(E142&gt;0,E142,0)</f>
        <v>0</v>
      </c>
      <c r="G142" s="1214">
        <f t="shared" ref="G142:G191" si="48">IF(E142&lt;0,E142,0)</f>
        <v>-88434.476749118752</v>
      </c>
    </row>
    <row r="143" spans="1:7" ht="15.75" customHeight="1">
      <c r="A143" s="1185" t="s">
        <v>1003</v>
      </c>
      <c r="B143" s="1285" t="s">
        <v>1004</v>
      </c>
      <c r="C143" s="1214">
        <f>'October midyear adj'!K140</f>
        <v>302684.9417902148</v>
      </c>
      <c r="D143" s="1214">
        <f>'February midyear adj '!K144</f>
        <v>-49783.707531285327</v>
      </c>
      <c r="E143" s="1216">
        <f t="shared" si="46"/>
        <v>252901.23425892947</v>
      </c>
      <c r="F143" s="1214">
        <f t="shared" si="47"/>
        <v>252901.23425892947</v>
      </c>
      <c r="G143" s="1214">
        <f t="shared" si="48"/>
        <v>0</v>
      </c>
    </row>
    <row r="144" spans="1:7" ht="15.75" customHeight="1">
      <c r="A144" s="1185" t="s">
        <v>1005</v>
      </c>
      <c r="B144" s="1285" t="s">
        <v>1006</v>
      </c>
      <c r="C144" s="1214">
        <f>'October midyear adj'!K141</f>
        <v>-209026.94504337158</v>
      </c>
      <c r="D144" s="1214">
        <f>'February midyear adj '!K145</f>
        <v>-4019.7489431417612</v>
      </c>
      <c r="E144" s="1216">
        <f t="shared" si="46"/>
        <v>-213046.69398651333</v>
      </c>
      <c r="F144" s="1214">
        <f t="shared" si="47"/>
        <v>0</v>
      </c>
      <c r="G144" s="1214">
        <f t="shared" si="48"/>
        <v>-213046.69398651333</v>
      </c>
    </row>
    <row r="145" spans="1:7" ht="15.75" customHeight="1">
      <c r="A145" s="1286" t="s">
        <v>1007</v>
      </c>
      <c r="B145" s="1285" t="s">
        <v>1008</v>
      </c>
      <c r="C145" s="1214">
        <f>'October midyear adj'!K142</f>
        <v>115943.75907084826</v>
      </c>
      <c r="D145" s="1214">
        <f>'February midyear adj '!K146</f>
        <v>15992.242630461829</v>
      </c>
      <c r="E145" s="1216">
        <f t="shared" si="46"/>
        <v>131936.0017013101</v>
      </c>
      <c r="F145" s="1214">
        <f t="shared" si="47"/>
        <v>131936.0017013101</v>
      </c>
      <c r="G145" s="1214">
        <f t="shared" si="48"/>
        <v>0</v>
      </c>
    </row>
    <row r="146" spans="1:7" ht="15.75" customHeight="1">
      <c r="A146" s="1287" t="s">
        <v>1009</v>
      </c>
      <c r="B146" s="1288" t="s">
        <v>1010</v>
      </c>
      <c r="C146" s="1214">
        <f>'October midyear adj'!K143</f>
        <v>311848.73129400564</v>
      </c>
      <c r="D146" s="1214">
        <f>'February midyear adj '!K147</f>
        <v>53973.818877808677</v>
      </c>
      <c r="E146" s="1216">
        <f t="shared" si="46"/>
        <v>365822.55017181434</v>
      </c>
      <c r="F146" s="1214">
        <f t="shared" si="47"/>
        <v>365822.55017181434</v>
      </c>
      <c r="G146" s="1214">
        <f t="shared" si="48"/>
        <v>0</v>
      </c>
    </row>
    <row r="147" spans="1:7" ht="15.75" customHeight="1">
      <c r="A147" s="1286" t="s">
        <v>1011</v>
      </c>
      <c r="B147" s="1285" t="s">
        <v>1012</v>
      </c>
      <c r="C147" s="1276">
        <f>'October midyear adj'!K144</f>
        <v>23988.363945692745</v>
      </c>
      <c r="D147" s="1236">
        <f>'February midyear adj '!K148</f>
        <v>-3998.0606576154573</v>
      </c>
      <c r="E147" s="1268">
        <f t="shared" si="46"/>
        <v>19990.303288077288</v>
      </c>
      <c r="F147" s="1236">
        <f t="shared" si="47"/>
        <v>19990.303288077288</v>
      </c>
      <c r="G147" s="1236">
        <f t="shared" si="48"/>
        <v>0</v>
      </c>
    </row>
    <row r="148" spans="1:7" ht="15.75" customHeight="1">
      <c r="A148" s="1286" t="s">
        <v>1013</v>
      </c>
      <c r="B148" s="1285" t="s">
        <v>1014</v>
      </c>
      <c r="C148" s="1214">
        <f>'October midyear adj'!K145</f>
        <v>223891.39682646561</v>
      </c>
      <c r="D148" s="1214">
        <f>'February midyear adj '!K149</f>
        <v>-23988.363945692745</v>
      </c>
      <c r="E148" s="1216">
        <f t="shared" si="46"/>
        <v>199903.03288077287</v>
      </c>
      <c r="F148" s="1214">
        <f t="shared" si="47"/>
        <v>199903.03288077287</v>
      </c>
      <c r="G148" s="1214">
        <f t="shared" si="48"/>
        <v>0</v>
      </c>
    </row>
    <row r="149" spans="1:7" ht="15.75" customHeight="1">
      <c r="A149" s="1286" t="s">
        <v>1015</v>
      </c>
      <c r="B149" s="1285" t="s">
        <v>1016</v>
      </c>
      <c r="C149" s="1214">
        <f>'October midyear adj'!K146</f>
        <v>7996.1213152309147</v>
      </c>
      <c r="D149" s="1214">
        <f>'February midyear adj '!K150</f>
        <v>-3998.0606576154573</v>
      </c>
      <c r="E149" s="1216">
        <f t="shared" si="46"/>
        <v>3998.0606576154573</v>
      </c>
      <c r="F149" s="1214">
        <f t="shared" si="47"/>
        <v>3998.0606576154573</v>
      </c>
      <c r="G149" s="1214">
        <f t="shared" si="48"/>
        <v>0</v>
      </c>
    </row>
    <row r="150" spans="1:7" ht="15.75" customHeight="1">
      <c r="A150" s="1286" t="s">
        <v>1017</v>
      </c>
      <c r="B150" s="1285" t="s">
        <v>1018</v>
      </c>
      <c r="C150" s="1214">
        <f>'October midyear adj'!K147</f>
        <v>299854.54932115931</v>
      </c>
      <c r="D150" s="1214">
        <f>'February midyear adj '!K151</f>
        <v>-1999.0303288077287</v>
      </c>
      <c r="E150" s="1216">
        <f t="shared" si="46"/>
        <v>297855.5189923516</v>
      </c>
      <c r="F150" s="1214">
        <f t="shared" si="47"/>
        <v>297855.5189923516</v>
      </c>
      <c r="G150" s="1214">
        <f t="shared" si="48"/>
        <v>0</v>
      </c>
    </row>
    <row r="151" spans="1:7" ht="15.75" customHeight="1">
      <c r="A151" s="1287" t="s">
        <v>1019</v>
      </c>
      <c r="B151" s="1288" t="s">
        <v>1020</v>
      </c>
      <c r="C151" s="1214">
        <f>'October midyear adj'!K148</f>
        <v>0</v>
      </c>
      <c r="D151" s="1214">
        <f>'February midyear adj '!K152</f>
        <v>25987.394274500472</v>
      </c>
      <c r="E151" s="1226">
        <f t="shared" si="46"/>
        <v>25987.394274500472</v>
      </c>
      <c r="F151" s="1214">
        <f t="shared" si="47"/>
        <v>25987.394274500472</v>
      </c>
      <c r="G151" s="1214">
        <f t="shared" si="48"/>
        <v>0</v>
      </c>
    </row>
    <row r="152" spans="1:7" s="1204" customFormat="1" ht="15.75" customHeight="1">
      <c r="A152" s="1286" t="s">
        <v>1021</v>
      </c>
      <c r="B152" s="1285" t="s">
        <v>1022</v>
      </c>
      <c r="C152" s="1289">
        <f>'October midyear adj'!K149</f>
        <v>-147928.24433177192</v>
      </c>
      <c r="D152" s="1290">
        <f>'February midyear adj '!K153</f>
        <v>53973.818877808677</v>
      </c>
      <c r="E152" s="1291">
        <f t="shared" si="46"/>
        <v>-93954.425453963238</v>
      </c>
      <c r="F152" s="1290">
        <f t="shared" si="47"/>
        <v>0</v>
      </c>
      <c r="G152" s="1290">
        <f t="shared" si="48"/>
        <v>-93954.425453963238</v>
      </c>
    </row>
    <row r="153" spans="1:7" ht="15.75" customHeight="1">
      <c r="A153" s="1286" t="s">
        <v>1023</v>
      </c>
      <c r="B153" s="1285" t="s">
        <v>1024</v>
      </c>
      <c r="C153" s="1243">
        <f>'October midyear adj'!K150</f>
        <v>187908.85090792651</v>
      </c>
      <c r="D153" s="1243">
        <f>'February midyear adj '!K154</f>
        <v>-17991.272959269558</v>
      </c>
      <c r="E153" s="1244">
        <f t="shared" si="46"/>
        <v>169917.57794865695</v>
      </c>
      <c r="F153" s="1243">
        <f t="shared" si="47"/>
        <v>169917.57794865695</v>
      </c>
      <c r="G153" s="1243">
        <f t="shared" si="48"/>
        <v>0</v>
      </c>
    </row>
    <row r="154" spans="1:7" ht="15.75" customHeight="1">
      <c r="A154" s="1286" t="s">
        <v>1025</v>
      </c>
      <c r="B154" s="1285" t="s">
        <v>1026</v>
      </c>
      <c r="C154" s="1214">
        <f>'October midyear adj'!K151</f>
        <v>19990.303288077288</v>
      </c>
      <c r="D154" s="1214">
        <f>'February midyear adj '!K155</f>
        <v>3998.0606576154573</v>
      </c>
      <c r="E154" s="1226">
        <f t="shared" si="46"/>
        <v>23988.363945692745</v>
      </c>
      <c r="F154" s="1214">
        <f t="shared" si="47"/>
        <v>23988.363945692745</v>
      </c>
      <c r="G154" s="1214">
        <f t="shared" si="48"/>
        <v>0</v>
      </c>
    </row>
    <row r="155" spans="1:7" ht="15.75" customHeight="1">
      <c r="A155" s="1286" t="s">
        <v>1027</v>
      </c>
      <c r="B155" s="1285" t="s">
        <v>1028</v>
      </c>
      <c r="C155" s="1214">
        <f>'October midyear adj'!K152</f>
        <v>-51974.788549000943</v>
      </c>
      <c r="D155" s="1214">
        <f>'February midyear adj '!K156</f>
        <v>3998.0606576154573</v>
      </c>
      <c r="E155" s="1226">
        <f t="shared" si="46"/>
        <v>-47976.727891385483</v>
      </c>
      <c r="F155" s="1214">
        <f t="shared" si="47"/>
        <v>0</v>
      </c>
      <c r="G155" s="1214">
        <f t="shared" si="48"/>
        <v>-47976.727891385483</v>
      </c>
    </row>
    <row r="156" spans="1:7" ht="15.75" customHeight="1">
      <c r="A156" s="1287" t="s">
        <v>1029</v>
      </c>
      <c r="B156" s="1288" t="s">
        <v>1030</v>
      </c>
      <c r="C156" s="1214">
        <f>'October midyear adj'!K153</f>
        <v>283862.30669069744</v>
      </c>
      <c r="D156" s="1214">
        <f>'February midyear adj '!K157</f>
        <v>-1999.0303288077287</v>
      </c>
      <c r="E156" s="1226">
        <f t="shared" si="46"/>
        <v>281863.27636188973</v>
      </c>
      <c r="F156" s="1214">
        <f t="shared" si="47"/>
        <v>281863.27636188973</v>
      </c>
      <c r="G156" s="1214">
        <f t="shared" si="48"/>
        <v>0</v>
      </c>
    </row>
    <row r="157" spans="1:7" ht="15.75" customHeight="1">
      <c r="A157" s="1286" t="s">
        <v>1031</v>
      </c>
      <c r="B157" s="1285" t="s">
        <v>1032</v>
      </c>
      <c r="C157" s="1276">
        <f>'October midyear adj'!K154</f>
        <v>199903.03288077287</v>
      </c>
      <c r="D157" s="1236">
        <f>'February midyear adj '!K158</f>
        <v>5997.0909864231862</v>
      </c>
      <c r="E157" s="1237">
        <f t="shared" si="46"/>
        <v>205900.12386719606</v>
      </c>
      <c r="F157" s="1236">
        <f t="shared" si="47"/>
        <v>205900.12386719606</v>
      </c>
      <c r="G157" s="1236">
        <f t="shared" si="48"/>
        <v>0</v>
      </c>
    </row>
    <row r="158" spans="1:7" ht="15.75" customHeight="1">
      <c r="A158" s="1286" t="s">
        <v>1033</v>
      </c>
      <c r="B158" s="1285" t="s">
        <v>1034</v>
      </c>
      <c r="C158" s="1214">
        <f>'October midyear adj'!K155</f>
        <v>467773.09694100852</v>
      </c>
      <c r="D158" s="1214">
        <f>'February midyear adj '!K159</f>
        <v>-17991.272959269558</v>
      </c>
      <c r="E158" s="1226">
        <f t="shared" si="46"/>
        <v>449781.82398173894</v>
      </c>
      <c r="F158" s="1214">
        <f t="shared" si="47"/>
        <v>449781.82398173894</v>
      </c>
      <c r="G158" s="1214">
        <f t="shared" si="48"/>
        <v>0</v>
      </c>
    </row>
    <row r="159" spans="1:7" ht="15.75" customHeight="1">
      <c r="A159" s="1286" t="s">
        <v>1035</v>
      </c>
      <c r="B159" s="1285" t="s">
        <v>1036</v>
      </c>
      <c r="C159" s="1214">
        <f>'October midyear adj'!K156</f>
        <v>183910.79025031102</v>
      </c>
      <c r="D159" s="1214">
        <f>'February midyear adj '!K160</f>
        <v>9995.151644038644</v>
      </c>
      <c r="E159" s="1226">
        <f t="shared" si="46"/>
        <v>193905.94189434967</v>
      </c>
      <c r="F159" s="1214">
        <f t="shared" si="47"/>
        <v>193905.94189434967</v>
      </c>
      <c r="G159" s="1214">
        <f t="shared" si="48"/>
        <v>0</v>
      </c>
    </row>
    <row r="160" spans="1:7" ht="15.75" customHeight="1">
      <c r="A160" s="1286" t="s">
        <v>1037</v>
      </c>
      <c r="B160" s="1285" t="s">
        <v>1038</v>
      </c>
      <c r="C160" s="1214">
        <f>'October midyear adj'!K157</f>
        <v>83573.801178691705</v>
      </c>
      <c r="D160" s="1214">
        <f>'February midyear adj '!K161</f>
        <v>8357.3801178691701</v>
      </c>
      <c r="E160" s="1226">
        <f t="shared" si="46"/>
        <v>91931.18129656087</v>
      </c>
      <c r="F160" s="1214">
        <f t="shared" si="47"/>
        <v>91931.18129656087</v>
      </c>
      <c r="G160" s="1214">
        <f t="shared" si="48"/>
        <v>0</v>
      </c>
    </row>
    <row r="161" spans="1:21" ht="15.75" customHeight="1">
      <c r="A161" s="1287" t="s">
        <v>1039</v>
      </c>
      <c r="B161" s="1288" t="s">
        <v>1040</v>
      </c>
      <c r="C161" s="1214">
        <f>'October midyear adj'!K158</f>
        <v>211830.66911401888</v>
      </c>
      <c r="D161" s="1214">
        <f>'February midyear adj '!K162</f>
        <v>0</v>
      </c>
      <c r="E161" s="1226">
        <f t="shared" si="46"/>
        <v>211830.66911401888</v>
      </c>
      <c r="F161" s="1214">
        <f t="shared" si="47"/>
        <v>211830.66911401888</v>
      </c>
      <c r="G161" s="1214">
        <f t="shared" si="48"/>
        <v>0</v>
      </c>
    </row>
    <row r="162" spans="1:21" s="1204" customFormat="1" ht="15.75" customHeight="1">
      <c r="A162" s="1286" t="s">
        <v>1041</v>
      </c>
      <c r="B162" s="1285" t="s">
        <v>1042</v>
      </c>
      <c r="C162" s="1289">
        <f>'October midyear adj'!K159</f>
        <v>363607.24331962451</v>
      </c>
      <c r="D162" s="1290">
        <f>'February midyear adj '!K163</f>
        <v>1997.8419962616731</v>
      </c>
      <c r="E162" s="1291">
        <f t="shared" si="46"/>
        <v>365605.08531588619</v>
      </c>
      <c r="F162" s="1290">
        <f t="shared" si="47"/>
        <v>365605.08531588619</v>
      </c>
      <c r="G162" s="1290">
        <f t="shared" si="48"/>
        <v>0</v>
      </c>
    </row>
    <row r="163" spans="1:21" ht="15.75" customHeight="1">
      <c r="A163" s="1286" t="s">
        <v>1043</v>
      </c>
      <c r="B163" s="1285" t="s">
        <v>1044</v>
      </c>
      <c r="C163" s="1243">
        <f>'October midyear adj'!K160</f>
        <v>367237.46091414045</v>
      </c>
      <c r="D163" s="1243">
        <f>'February midyear adj '!K164</f>
        <v>4035.5764935619832</v>
      </c>
      <c r="E163" s="1244">
        <f t="shared" si="46"/>
        <v>371273.03740770242</v>
      </c>
      <c r="F163" s="1243">
        <f t="shared" si="47"/>
        <v>371273.03740770242</v>
      </c>
      <c r="G163" s="1243">
        <f t="shared" si="48"/>
        <v>0</v>
      </c>
    </row>
    <row r="164" spans="1:21" ht="15.75" customHeight="1">
      <c r="A164" s="1286" t="s">
        <v>1045</v>
      </c>
      <c r="B164" s="1285" t="s">
        <v>1046</v>
      </c>
      <c r="C164" s="1214">
        <f>'October midyear adj'!K161</f>
        <v>40140.974663419918</v>
      </c>
      <c r="D164" s="1214">
        <f>'February midyear adj '!K165</f>
        <v>-24084.584798051954</v>
      </c>
      <c r="E164" s="1226">
        <f t="shared" si="46"/>
        <v>16056.389865367964</v>
      </c>
      <c r="F164" s="1214">
        <f t="shared" si="47"/>
        <v>16056.389865367964</v>
      </c>
      <c r="G164" s="1214">
        <f t="shared" si="48"/>
        <v>0</v>
      </c>
    </row>
    <row r="165" spans="1:21" s="1204" customFormat="1" ht="15.75" customHeight="1">
      <c r="A165" s="1286" t="s">
        <v>1047</v>
      </c>
      <c r="B165" s="1285" t="s">
        <v>1048</v>
      </c>
      <c r="C165" s="1241">
        <f>'October midyear adj'!K162</f>
        <v>167489.68088795099</v>
      </c>
      <c r="D165" s="1241">
        <f>'February midyear adj '!K166</f>
        <v>-71781.291809121845</v>
      </c>
      <c r="E165" s="1242">
        <f t="shared" si="46"/>
        <v>95708.389078829146</v>
      </c>
      <c r="F165" s="1241">
        <f t="shared" si="47"/>
        <v>95708.389078829146</v>
      </c>
      <c r="G165" s="1241">
        <f t="shared" si="48"/>
        <v>0</v>
      </c>
    </row>
    <row r="166" spans="1:21" s="1295" customFormat="1" ht="15.75" customHeight="1">
      <c r="A166" s="1287" t="s">
        <v>1049</v>
      </c>
      <c r="B166" s="1288" t="s">
        <v>1050</v>
      </c>
      <c r="C166" s="1292">
        <f>'October midyear adj'!K163</f>
        <v>836089.25924149819</v>
      </c>
      <c r="D166" s="1292">
        <f>'February midyear adj '!K167</f>
        <v>-90963.414778588922</v>
      </c>
      <c r="E166" s="1293">
        <f t="shared" si="46"/>
        <v>745125.84446290927</v>
      </c>
      <c r="F166" s="1292">
        <f t="shared" si="47"/>
        <v>745125.84446290927</v>
      </c>
      <c r="G166" s="1292">
        <f t="shared" si="48"/>
        <v>0</v>
      </c>
      <c r="H166" s="1180"/>
      <c r="I166" s="1294"/>
      <c r="J166" s="1294"/>
      <c r="K166" s="1294"/>
      <c r="L166" s="1294"/>
      <c r="M166" s="1294"/>
      <c r="N166" s="1294"/>
      <c r="O166" s="1294"/>
      <c r="P166" s="1294"/>
      <c r="Q166" s="1294"/>
      <c r="R166" s="1294"/>
      <c r="S166" s="1294"/>
      <c r="T166" s="1294"/>
      <c r="U166" s="1294"/>
    </row>
    <row r="167" spans="1:21" ht="15.75" customHeight="1">
      <c r="A167" s="1286" t="s">
        <v>1051</v>
      </c>
      <c r="B167" s="1285" t="s">
        <v>1052</v>
      </c>
      <c r="C167" s="1190">
        <f>'October midyear adj'!K164</f>
        <v>82566.153107642909</v>
      </c>
      <c r="D167" s="1214">
        <f>'February midyear adj '!K168</f>
        <v>-5897.5823648316364</v>
      </c>
      <c r="E167" s="1226">
        <f t="shared" si="46"/>
        <v>76668.57074281128</v>
      </c>
      <c r="F167" s="1214">
        <f t="shared" si="47"/>
        <v>76668.57074281128</v>
      </c>
      <c r="G167" s="1214">
        <f t="shared" si="48"/>
        <v>0</v>
      </c>
    </row>
    <row r="168" spans="1:21" s="1204" customFormat="1" ht="15.75" customHeight="1">
      <c r="A168" s="1286" t="s">
        <v>1053</v>
      </c>
      <c r="B168" s="1285" t="s">
        <v>1054</v>
      </c>
      <c r="C168" s="1241">
        <f>'October midyear adj'!K165</f>
        <v>11880.721113457985</v>
      </c>
      <c r="D168" s="1241">
        <f>'February midyear adj '!K169</f>
        <v>-15840.961484610647</v>
      </c>
      <c r="E168" s="1242">
        <f t="shared" si="46"/>
        <v>-3960.2403711526622</v>
      </c>
      <c r="F168" s="1241">
        <f t="shared" si="47"/>
        <v>0</v>
      </c>
      <c r="G168" s="1241">
        <f t="shared" si="48"/>
        <v>-3960.2403711526622</v>
      </c>
    </row>
    <row r="169" spans="1:21" ht="15.75" customHeight="1">
      <c r="A169" s="1286" t="s">
        <v>1055</v>
      </c>
      <c r="B169" s="1285" t="s">
        <v>1056</v>
      </c>
      <c r="C169" s="1243">
        <f>'October midyear adj'!K166</f>
        <v>308303.77612548496</v>
      </c>
      <c r="D169" s="1243">
        <f>'February midyear adj '!K170</f>
        <v>-13659.028056192372</v>
      </c>
      <c r="E169" s="1244">
        <f t="shared" si="46"/>
        <v>294644.74806929257</v>
      </c>
      <c r="F169" s="1243">
        <f t="shared" si="47"/>
        <v>294644.74806929257</v>
      </c>
      <c r="G169" s="1243">
        <f t="shared" si="48"/>
        <v>0</v>
      </c>
    </row>
    <row r="170" spans="1:21" s="1204" customFormat="1" ht="15.75" customHeight="1">
      <c r="A170" s="1286" t="s">
        <v>1057</v>
      </c>
      <c r="B170" s="1285" t="s">
        <v>1058</v>
      </c>
      <c r="C170" s="1241">
        <f>'October midyear adj'!K167</f>
        <v>-99332.76189185628</v>
      </c>
      <c r="D170" s="1241">
        <f>'February midyear adj '!K171</f>
        <v>91386.140940507772</v>
      </c>
      <c r="E170" s="1216">
        <f t="shared" si="46"/>
        <v>-7946.6209513485082</v>
      </c>
      <c r="F170" s="1214">
        <f t="shared" si="47"/>
        <v>0</v>
      </c>
      <c r="G170" s="1214">
        <f t="shared" si="48"/>
        <v>-7946.6209513485082</v>
      </c>
    </row>
    <row r="171" spans="1:21" ht="15.75" customHeight="1">
      <c r="A171" s="1287" t="s">
        <v>1059</v>
      </c>
      <c r="B171" s="1288" t="s">
        <v>1060</v>
      </c>
      <c r="C171" s="1292">
        <f>'October midyear adj'!K168</f>
        <v>-7704.4873116013632</v>
      </c>
      <c r="D171" s="1292">
        <f>'February midyear adj '!K172</f>
        <v>-1926.1218279003408</v>
      </c>
      <c r="E171" s="1293">
        <f t="shared" si="46"/>
        <v>-9630.6091395017047</v>
      </c>
      <c r="F171" s="1292">
        <f t="shared" si="47"/>
        <v>0</v>
      </c>
      <c r="G171" s="1292">
        <f t="shared" si="48"/>
        <v>-9630.6091395017047</v>
      </c>
    </row>
    <row r="172" spans="1:21" s="1204" customFormat="1" ht="15.75" customHeight="1">
      <c r="A172" s="1296" t="s">
        <v>1061</v>
      </c>
      <c r="B172" s="1297" t="s">
        <v>1062</v>
      </c>
      <c r="C172" s="1289">
        <f>'October midyear adj'!K169</f>
        <v>40289.305390450849</v>
      </c>
      <c r="D172" s="1290">
        <f>'February midyear adj '!K173</f>
        <v>12086.791617135255</v>
      </c>
      <c r="E172" s="1291">
        <f t="shared" si="46"/>
        <v>52376.097007586104</v>
      </c>
      <c r="F172" s="1290">
        <f t="shared" si="47"/>
        <v>52376.097007586104</v>
      </c>
      <c r="G172" s="1290">
        <f t="shared" si="48"/>
        <v>0</v>
      </c>
    </row>
    <row r="173" spans="1:21" ht="15.75" customHeight="1">
      <c r="A173" s="1286" t="s">
        <v>1063</v>
      </c>
      <c r="B173" s="1285" t="s">
        <v>1064</v>
      </c>
      <c r="C173" s="1243">
        <f>'October midyear adj'!K170</f>
        <v>77898.35502214318</v>
      </c>
      <c r="D173" s="1243">
        <f>'February midyear adj '!K174</f>
        <v>1947.4588755535794</v>
      </c>
      <c r="E173" s="1244">
        <f t="shared" si="46"/>
        <v>79845.81389769676</v>
      </c>
      <c r="F173" s="1243">
        <f t="shared" si="47"/>
        <v>79845.81389769676</v>
      </c>
      <c r="G173" s="1243">
        <f t="shared" si="48"/>
        <v>0</v>
      </c>
    </row>
    <row r="174" spans="1:21" s="1227" customFormat="1" ht="15.75" customHeight="1">
      <c r="A174" s="1286" t="s">
        <v>1065</v>
      </c>
      <c r="B174" s="1285" t="s">
        <v>1066</v>
      </c>
      <c r="C174" s="1298">
        <f>'October midyear adj'!K171</f>
        <v>-65389.100684210774</v>
      </c>
      <c r="D174" s="1298">
        <f>'February midyear adj '!K175</f>
        <v>-15385.670749226065</v>
      </c>
      <c r="E174" s="1299">
        <f t="shared" si="46"/>
        <v>-80774.771433436836</v>
      </c>
      <c r="F174" s="1243">
        <f t="shared" si="47"/>
        <v>0</v>
      </c>
      <c r="G174" s="1300">
        <f t="shared" si="48"/>
        <v>-80774.771433436836</v>
      </c>
    </row>
    <row r="175" spans="1:21" s="1227" customFormat="1" ht="15.75" customHeight="1">
      <c r="A175" s="1286" t="s">
        <v>1067</v>
      </c>
      <c r="B175" s="1285" t="s">
        <v>1068</v>
      </c>
      <c r="C175" s="1298">
        <f>'October midyear adj'!K172</f>
        <v>161146.77051071622</v>
      </c>
      <c r="D175" s="1301">
        <f>'February midyear adj '!K176</f>
        <v>-1965.2045184233687</v>
      </c>
      <c r="E175" s="1244">
        <f t="shared" si="46"/>
        <v>159181.56599229286</v>
      </c>
      <c r="F175" s="1243">
        <f t="shared" si="47"/>
        <v>159181.56599229286</v>
      </c>
      <c r="G175" s="1300">
        <f t="shared" si="48"/>
        <v>0</v>
      </c>
    </row>
    <row r="176" spans="1:21" ht="15.75" customHeight="1">
      <c r="A176" s="1287" t="s">
        <v>1069</v>
      </c>
      <c r="B176" s="1288" t="s">
        <v>1070</v>
      </c>
      <c r="C176" s="1302">
        <f>'October midyear adj'!K173</f>
        <v>118168.48518548941</v>
      </c>
      <c r="D176" s="1302">
        <f>'February midyear adj '!K177</f>
        <v>-29542.121296372352</v>
      </c>
      <c r="E176" s="1303">
        <f t="shared" si="46"/>
        <v>88626.363889117056</v>
      </c>
      <c r="F176" s="1300">
        <f t="shared" si="47"/>
        <v>88626.363889117056</v>
      </c>
      <c r="G176" s="1300">
        <f t="shared" si="48"/>
        <v>0</v>
      </c>
    </row>
    <row r="177" spans="1:7" ht="15.75" customHeight="1">
      <c r="A177" s="1286" t="s">
        <v>1071</v>
      </c>
      <c r="B177" s="1285" t="s">
        <v>1072</v>
      </c>
      <c r="C177" s="1304">
        <f>'October midyear adj'!K174</f>
        <v>722409.45353853377</v>
      </c>
      <c r="D177" s="1305">
        <f>'February midyear adj '!K178</f>
        <v>-32107.086823934835</v>
      </c>
      <c r="E177" s="1306">
        <f t="shared" si="46"/>
        <v>690302.36671459896</v>
      </c>
      <c r="F177" s="1307">
        <f t="shared" si="47"/>
        <v>690302.36671459896</v>
      </c>
      <c r="G177" s="1307">
        <f t="shared" si="48"/>
        <v>0</v>
      </c>
    </row>
    <row r="178" spans="1:7" ht="15.75" customHeight="1">
      <c r="A178" s="1286" t="s">
        <v>1073</v>
      </c>
      <c r="B178" s="1285" t="s">
        <v>1074</v>
      </c>
      <c r="C178" s="1302">
        <f>'October midyear adj'!K175</f>
        <v>-72343.447899674502</v>
      </c>
      <c r="D178" s="1302">
        <f>'February midyear adj '!K179</f>
        <v>-36171.723949837251</v>
      </c>
      <c r="E178" s="1244">
        <f t="shared" si="46"/>
        <v>-108515.17184951175</v>
      </c>
      <c r="F178" s="1300">
        <f t="shared" si="47"/>
        <v>0</v>
      </c>
      <c r="G178" s="1300">
        <f t="shared" si="48"/>
        <v>-108515.17184951175</v>
      </c>
    </row>
    <row r="179" spans="1:7" ht="15.75" customHeight="1">
      <c r="A179" s="1286" t="s">
        <v>1075</v>
      </c>
      <c r="B179" s="1285" t="s">
        <v>1076</v>
      </c>
      <c r="C179" s="396">
        <f>'October midyear adj'!K176</f>
        <v>34596.741474717957</v>
      </c>
      <c r="D179" s="1302">
        <f>'February midyear adj '!K180</f>
        <v>-61505.318177276371</v>
      </c>
      <c r="E179" s="1244">
        <f t="shared" si="46"/>
        <v>-26908.576702558414</v>
      </c>
      <c r="F179" s="1300">
        <f t="shared" si="47"/>
        <v>0</v>
      </c>
      <c r="G179" s="1300">
        <f t="shared" si="48"/>
        <v>-26908.576702558414</v>
      </c>
    </row>
    <row r="180" spans="1:7" ht="15.75" customHeight="1">
      <c r="A180" s="1286" t="s">
        <v>1077</v>
      </c>
      <c r="B180" s="1285" t="s">
        <v>1078</v>
      </c>
      <c r="C180" s="1302">
        <f>'October midyear adj'!K177</f>
        <v>-133111.16021083781</v>
      </c>
      <c r="D180" s="1302">
        <f>'February midyear adj '!K181</f>
        <v>-24958.342539532088</v>
      </c>
      <c r="E180" s="1244">
        <f t="shared" si="46"/>
        <v>-158069.50275036989</v>
      </c>
      <c r="F180" s="1300">
        <f t="shared" si="47"/>
        <v>0</v>
      </c>
      <c r="G180" s="1300">
        <f t="shared" si="48"/>
        <v>-158069.50275036989</v>
      </c>
    </row>
    <row r="181" spans="1:7" ht="15.75" customHeight="1">
      <c r="A181" s="1287" t="s">
        <v>1079</v>
      </c>
      <c r="B181" s="1288" t="s">
        <v>1080</v>
      </c>
      <c r="C181" s="1300">
        <f>'October midyear adj'!K178</f>
        <v>295537.55432928295</v>
      </c>
      <c r="D181" s="1300">
        <f>'February midyear adj '!K182</f>
        <v>-13978.127569628246</v>
      </c>
      <c r="E181" s="1244">
        <f t="shared" si="46"/>
        <v>281559.42675965471</v>
      </c>
      <c r="F181" s="1300">
        <f t="shared" si="47"/>
        <v>281559.42675965471</v>
      </c>
      <c r="G181" s="1300">
        <f t="shared" si="48"/>
        <v>0</v>
      </c>
    </row>
    <row r="182" spans="1:7" ht="15.75" customHeight="1">
      <c r="A182" s="1286" t="s">
        <v>1081</v>
      </c>
      <c r="B182" s="1285" t="s">
        <v>1082</v>
      </c>
      <c r="C182" s="1308">
        <f>'October midyear adj'!K179</f>
        <v>494788.81031120301</v>
      </c>
      <c r="D182" s="1307">
        <f>'February midyear adj '!K183</f>
        <v>5843.9623265102719</v>
      </c>
      <c r="E182" s="1309">
        <f t="shared" si="46"/>
        <v>500632.77263771329</v>
      </c>
      <c r="F182" s="1307">
        <f t="shared" si="47"/>
        <v>500632.77263771329</v>
      </c>
      <c r="G182" s="1307">
        <f t="shared" si="48"/>
        <v>0</v>
      </c>
    </row>
    <row r="183" spans="1:7" ht="15.75" customHeight="1">
      <c r="A183" s="1286" t="s">
        <v>1083</v>
      </c>
      <c r="B183" s="1285" t="s">
        <v>1084</v>
      </c>
      <c r="C183" s="1300">
        <f>'October midyear adj'!K180</f>
        <v>377797.86180408084</v>
      </c>
      <c r="D183" s="1300">
        <f>'February midyear adj '!K184</f>
        <v>-1988.4097989688466</v>
      </c>
      <c r="E183" s="1244">
        <f t="shared" si="46"/>
        <v>375809.45200511196</v>
      </c>
      <c r="F183" s="1300">
        <f t="shared" si="47"/>
        <v>375809.45200511196</v>
      </c>
      <c r="G183" s="1300">
        <f t="shared" si="48"/>
        <v>0</v>
      </c>
    </row>
    <row r="184" spans="1:7" ht="15.75" customHeight="1">
      <c r="A184" s="1286" t="s">
        <v>1085</v>
      </c>
      <c r="B184" s="1285" t="s">
        <v>1086</v>
      </c>
      <c r="C184" s="1300">
        <f>'October midyear adj'!K181</f>
        <v>69202.046489244676</v>
      </c>
      <c r="D184" s="1300">
        <f>'February midyear adj '!K185</f>
        <v>-19222.790691456856</v>
      </c>
      <c r="E184" s="1244">
        <f t="shared" si="46"/>
        <v>49979.255797787817</v>
      </c>
      <c r="F184" s="1300">
        <f t="shared" si="47"/>
        <v>49979.255797787817</v>
      </c>
      <c r="G184" s="1300">
        <f t="shared" si="48"/>
        <v>0</v>
      </c>
    </row>
    <row r="185" spans="1:7" ht="15.75" customHeight="1">
      <c r="A185" s="1286" t="s">
        <v>1087</v>
      </c>
      <c r="B185" s="1285" t="s">
        <v>1088</v>
      </c>
      <c r="C185" s="1300">
        <f>'October midyear adj'!K182</f>
        <v>479201.14625343669</v>
      </c>
      <c r="D185" s="1300">
        <f>'February midyear adj '!K186</f>
        <v>-9983.3572136132643</v>
      </c>
      <c r="E185" s="1244">
        <f t="shared" si="46"/>
        <v>469217.7890398234</v>
      </c>
      <c r="F185" s="1300">
        <f t="shared" si="47"/>
        <v>469217.7890398234</v>
      </c>
      <c r="G185" s="1300">
        <f t="shared" si="48"/>
        <v>0</v>
      </c>
    </row>
    <row r="186" spans="1:7" ht="15.75" customHeight="1">
      <c r="A186" s="1287" t="s">
        <v>1089</v>
      </c>
      <c r="B186" s="1288" t="s">
        <v>1090</v>
      </c>
      <c r="C186" s="1300">
        <f>'October midyear adj'!K183</f>
        <v>619699.40193039586</v>
      </c>
      <c r="D186" s="1300">
        <f>'February midyear adj '!K187</f>
        <v>-49975.758220193216</v>
      </c>
      <c r="E186" s="1244">
        <f t="shared" si="46"/>
        <v>569723.64371020265</v>
      </c>
      <c r="F186" s="1300">
        <f t="shared" si="47"/>
        <v>569723.64371020265</v>
      </c>
      <c r="G186" s="1300">
        <f t="shared" si="48"/>
        <v>0</v>
      </c>
    </row>
    <row r="187" spans="1:7" ht="15.75" customHeight="1">
      <c r="A187" s="1286" t="s">
        <v>1091</v>
      </c>
      <c r="B187" s="1285" t="s">
        <v>1092</v>
      </c>
      <c r="C187" s="1308">
        <f>'October midyear adj'!K184</f>
        <v>831596.61678401509</v>
      </c>
      <c r="D187" s="1307">
        <f>'February midyear adj '!K188</f>
        <v>-7996.1213152309147</v>
      </c>
      <c r="E187" s="1309">
        <f t="shared" si="46"/>
        <v>823600.49546878412</v>
      </c>
      <c r="F187" s="1307">
        <f t="shared" si="47"/>
        <v>823600.49546878412</v>
      </c>
      <c r="G187" s="1307">
        <f t="shared" si="48"/>
        <v>0</v>
      </c>
    </row>
    <row r="188" spans="1:7" ht="15.75" customHeight="1">
      <c r="A188" s="1286" t="s">
        <v>1093</v>
      </c>
      <c r="B188" s="1285" t="s">
        <v>1094</v>
      </c>
      <c r="C188" s="1300">
        <f>'October midyear adj'!K185</f>
        <v>104126.82065236486</v>
      </c>
      <c r="D188" s="1300">
        <f>'February midyear adj '!K189</f>
        <v>-6007.3165760979718</v>
      </c>
      <c r="E188" s="1244">
        <f t="shared" si="46"/>
        <v>98119.50407626688</v>
      </c>
      <c r="F188" s="1300">
        <f t="shared" si="47"/>
        <v>98119.50407626688</v>
      </c>
      <c r="G188" s="1300">
        <f t="shared" si="48"/>
        <v>0</v>
      </c>
    </row>
    <row r="189" spans="1:7" ht="14.25">
      <c r="A189" s="1185" t="s">
        <v>1095</v>
      </c>
      <c r="B189" s="1285" t="s">
        <v>1096</v>
      </c>
      <c r="C189" s="1300">
        <f>'October midyear adj'!K186</f>
        <v>438047.85151845712</v>
      </c>
      <c r="D189" s="1300">
        <f>'February midyear adj '!K190</f>
        <v>-10139.996562927248</v>
      </c>
      <c r="E189" s="1244">
        <f t="shared" si="46"/>
        <v>427907.85495552985</v>
      </c>
      <c r="F189" s="1300">
        <f t="shared" si="47"/>
        <v>427907.85495552985</v>
      </c>
      <c r="G189" s="1300">
        <f t="shared" si="48"/>
        <v>0</v>
      </c>
    </row>
    <row r="190" spans="1:7" ht="14.25">
      <c r="A190" s="1185" t="s">
        <v>1097</v>
      </c>
      <c r="B190" s="1285" t="s">
        <v>1098</v>
      </c>
      <c r="C190" s="1300">
        <f>'October midyear adj'!K187</f>
        <v>259873.94274500472</v>
      </c>
      <c r="D190" s="1300">
        <f>'February midyear adj '!K191</f>
        <v>-101950.54676919416</v>
      </c>
      <c r="E190" s="1244">
        <f t="shared" si="46"/>
        <v>157923.39597581056</v>
      </c>
      <c r="F190" s="1300">
        <f t="shared" si="47"/>
        <v>157923.39597581056</v>
      </c>
      <c r="G190" s="1300">
        <f t="shared" si="48"/>
        <v>0</v>
      </c>
    </row>
    <row r="191" spans="1:7" ht="14.25">
      <c r="A191" s="1191" t="s">
        <v>1099</v>
      </c>
      <c r="B191" s="1310" t="s">
        <v>1100</v>
      </c>
      <c r="C191" s="1300">
        <f>'October midyear adj'!K188</f>
        <v>27986.424603308202</v>
      </c>
      <c r="D191" s="1300">
        <f>'February midyear adj '!K192</f>
        <v>7996.1213152309147</v>
      </c>
      <c r="E191" s="1244">
        <f t="shared" si="46"/>
        <v>35982.545918539116</v>
      </c>
      <c r="F191" s="1300">
        <f t="shared" si="47"/>
        <v>35982.545918539116</v>
      </c>
      <c r="G191" s="1300">
        <f t="shared" si="48"/>
        <v>0</v>
      </c>
    </row>
    <row r="192" spans="1:7" ht="15.75" thickBot="1">
      <c r="A192" s="1200"/>
      <c r="B192" s="1218" t="s">
        <v>1101</v>
      </c>
      <c r="C192" s="1311">
        <f>SUM(C142:C191)</f>
        <v>9379398.1600597445</v>
      </c>
      <c r="D192" s="1312">
        <f>SUM(D142:D191)</f>
        <v>-465232.51391381311</v>
      </c>
      <c r="E192" s="1313">
        <f>SUM(E142:E191)</f>
        <v>8914165.6461459287</v>
      </c>
      <c r="F192" s="1312">
        <f t="shared" ref="F192:G192" si="49">SUM(F142:F191)</f>
        <v>9753383.4634247888</v>
      </c>
      <c r="G192" s="1312">
        <f t="shared" si="49"/>
        <v>-839217.8172788606</v>
      </c>
    </row>
    <row r="193" spans="1:7" ht="15.75" thickTop="1">
      <c r="A193" s="1282"/>
      <c r="B193" s="1314"/>
      <c r="C193" s="1222"/>
      <c r="D193" s="1222"/>
      <c r="E193" s="1222"/>
      <c r="F193" s="1315"/>
      <c r="G193" s="1316"/>
    </row>
    <row r="194" spans="1:7" ht="14.25">
      <c r="A194" s="1196" t="s">
        <v>1102</v>
      </c>
      <c r="B194" s="1317" t="s">
        <v>1103</v>
      </c>
      <c r="C194" s="1318">
        <f>'October midyear adj'!K191</f>
        <v>-240004.98188159574</v>
      </c>
      <c r="D194" s="1307">
        <f>'February midyear adj '!K195</f>
        <v>-75255.799403551209</v>
      </c>
      <c r="E194" s="1309">
        <f t="shared" ref="E194:E199" si="50">SUM(C194:D194)</f>
        <v>-315260.78128514695</v>
      </c>
      <c r="F194" s="1307">
        <f t="shared" ref="F194:F199" si="51">IF(E194&gt;0,E194,0)</f>
        <v>0</v>
      </c>
      <c r="G194" s="1300">
        <f t="shared" ref="G194:G199" si="52">IF(E194&lt;0,E194,0)</f>
        <v>-315260.78128514695</v>
      </c>
    </row>
    <row r="195" spans="1:7" ht="14.25">
      <c r="A195" s="1185" t="s">
        <v>1104</v>
      </c>
      <c r="B195" s="1319" t="s">
        <v>1105</v>
      </c>
      <c r="C195" s="388">
        <f>'October midyear adj'!K192</f>
        <v>89281.39940926616</v>
      </c>
      <c r="D195" s="1300">
        <f>'February midyear adj '!K196</f>
        <v>-32465.963421551329</v>
      </c>
      <c r="E195" s="1244">
        <f t="shared" si="50"/>
        <v>56815.435987714831</v>
      </c>
      <c r="F195" s="1300">
        <f t="shared" si="51"/>
        <v>56815.435987714831</v>
      </c>
      <c r="G195" s="1300">
        <f t="shared" si="52"/>
        <v>0</v>
      </c>
    </row>
    <row r="196" spans="1:7" ht="14.25">
      <c r="A196" s="1185" t="s">
        <v>1106</v>
      </c>
      <c r="B196" s="1320" t="s">
        <v>1107</v>
      </c>
      <c r="C196" s="388">
        <f>'October midyear adj'!K193</f>
        <v>-8138.4848903219045</v>
      </c>
      <c r="D196" s="1300">
        <f>'February midyear adj '!K197</f>
        <v>-20346.21222580476</v>
      </c>
      <c r="E196" s="1244">
        <f t="shared" si="50"/>
        <v>-28484.697116126663</v>
      </c>
      <c r="F196" s="1300">
        <f t="shared" si="51"/>
        <v>0</v>
      </c>
      <c r="G196" s="1300">
        <f t="shared" si="52"/>
        <v>-28484.697116126663</v>
      </c>
    </row>
    <row r="197" spans="1:7" ht="14.25">
      <c r="A197" s="1185" t="s">
        <v>1108</v>
      </c>
      <c r="B197" s="1320" t="s">
        <v>1109</v>
      </c>
      <c r="C197" s="388">
        <f>'October midyear adj'!K194</f>
        <v>345769.88915145147</v>
      </c>
      <c r="D197" s="1300">
        <f>'February midyear adj '!K198</f>
        <v>-28475.16734188424</v>
      </c>
      <c r="E197" s="1244">
        <f t="shared" si="50"/>
        <v>317294.72180956724</v>
      </c>
      <c r="F197" s="1300">
        <f t="shared" si="51"/>
        <v>317294.72180956724</v>
      </c>
      <c r="G197" s="1300">
        <f t="shared" si="52"/>
        <v>0</v>
      </c>
    </row>
    <row r="198" spans="1:7" ht="14.25">
      <c r="A198" s="1198" t="s">
        <v>1110</v>
      </c>
      <c r="B198" s="1321" t="s">
        <v>1111</v>
      </c>
      <c r="C198" s="388">
        <f>'October midyear adj'!K195</f>
        <v>195258.29034434908</v>
      </c>
      <c r="D198" s="1300">
        <f>'February midyear adj '!K199</f>
        <v>-26441.226817463936</v>
      </c>
      <c r="E198" s="1244">
        <f t="shared" si="50"/>
        <v>168817.06352688515</v>
      </c>
      <c r="F198" s="1300">
        <f t="shared" si="51"/>
        <v>168817.06352688515</v>
      </c>
      <c r="G198" s="1300">
        <f t="shared" si="52"/>
        <v>0</v>
      </c>
    </row>
    <row r="199" spans="1:7" ht="14.25">
      <c r="A199" s="1198" t="s">
        <v>1112</v>
      </c>
      <c r="B199" s="1322" t="s">
        <v>1113</v>
      </c>
      <c r="C199" s="1323">
        <f>'October midyear adj'!K196</f>
        <v>325430.48390724848</v>
      </c>
      <c r="D199" s="1324">
        <f>'February midyear adj '!K200</f>
        <v>-8135.7620976812113</v>
      </c>
      <c r="E199" s="1325">
        <f t="shared" si="50"/>
        <v>317294.72180956724</v>
      </c>
      <c r="F199" s="1324">
        <f t="shared" si="51"/>
        <v>317294.72180956724</v>
      </c>
      <c r="G199" s="1324">
        <f t="shared" si="52"/>
        <v>0</v>
      </c>
    </row>
    <row r="200" spans="1:7" ht="15.75" thickBot="1">
      <c r="A200" s="1200"/>
      <c r="B200" s="1218" t="s">
        <v>1114</v>
      </c>
      <c r="C200" s="1326">
        <f>SUM(C194:C199)</f>
        <v>707596.59604039753</v>
      </c>
      <c r="D200" s="1327">
        <f>SUM(D194:D199)</f>
        <v>-191120.13130793668</v>
      </c>
      <c r="E200" s="1328">
        <f>SUM(E194:E199)</f>
        <v>516476.46473246079</v>
      </c>
      <c r="F200" s="1327">
        <f t="shared" ref="F200:G200" si="53">SUM(F194:F199)</f>
        <v>860221.9431337344</v>
      </c>
      <c r="G200" s="1327">
        <f t="shared" si="53"/>
        <v>-343745.47840127361</v>
      </c>
    </row>
    <row r="201" spans="1:7" ht="15.75" thickTop="1">
      <c r="A201" s="1282"/>
      <c r="B201" s="1314"/>
      <c r="C201" s="1222"/>
      <c r="D201" s="1222"/>
      <c r="E201" s="1222"/>
      <c r="F201" s="1315"/>
      <c r="G201" s="1316"/>
    </row>
    <row r="202" spans="1:7" ht="14.25">
      <c r="A202" s="1329">
        <v>377003</v>
      </c>
      <c r="B202" s="1330" t="s">
        <v>1115</v>
      </c>
      <c r="C202" s="1307">
        <f>'October midyear adj'!K199</f>
        <v>-8711.1113745497132</v>
      </c>
      <c r="D202" s="1307">
        <f>'February midyear adj '!K203</f>
        <v>-54444.446090935708</v>
      </c>
      <c r="E202" s="1309">
        <f>SUM(C202:D202)</f>
        <v>-63155.557465485421</v>
      </c>
      <c r="F202" s="1307">
        <f>IF(E202&gt;0,E202,0)</f>
        <v>0</v>
      </c>
      <c r="G202" s="1300">
        <f t="shared" ref="G202" si="54">IF(E202&lt;0,E202,0)</f>
        <v>-63155.557465485421</v>
      </c>
    </row>
    <row r="203" spans="1:7" ht="15.75" thickBot="1">
      <c r="A203" s="1331"/>
      <c r="B203" s="1218" t="s">
        <v>1116</v>
      </c>
      <c r="C203" s="1311">
        <f>SUM(C202)</f>
        <v>-8711.1113745497132</v>
      </c>
      <c r="D203" s="1312">
        <f>SUM(D202)</f>
        <v>-54444.446090935708</v>
      </c>
      <c r="E203" s="1313">
        <f>SUM(E202)</f>
        <v>-63155.557465485421</v>
      </c>
      <c r="F203" s="1312">
        <f t="shared" ref="F203:G203" si="55">SUM(F202)</f>
        <v>0</v>
      </c>
      <c r="G203" s="1312">
        <f t="shared" si="55"/>
        <v>-63155.557465485421</v>
      </c>
    </row>
    <row r="204" spans="1:7" ht="15.75" thickTop="1">
      <c r="A204" s="1332"/>
      <c r="B204" s="1314"/>
      <c r="C204" s="1315"/>
      <c r="D204" s="1222"/>
      <c r="E204" s="1222"/>
      <c r="F204" s="1315"/>
      <c r="G204" s="1316"/>
    </row>
    <row r="205" spans="1:7" ht="14.25">
      <c r="A205" s="1333">
        <v>371001</v>
      </c>
      <c r="B205" s="1259" t="s">
        <v>1117</v>
      </c>
      <c r="C205" s="1307">
        <f>'October midyear adj'!K202</f>
        <v>235964.87899744863</v>
      </c>
      <c r="D205" s="1307">
        <f>'February midyear adj '!K206</f>
        <v>-30778.02769531939</v>
      </c>
      <c r="E205" s="1309">
        <f>SUM(C205:D205)</f>
        <v>205186.85130212925</v>
      </c>
      <c r="F205" s="1307">
        <f>IF(E205&gt;0,E205,0)</f>
        <v>205186.85130212925</v>
      </c>
      <c r="G205" s="1300">
        <f t="shared" ref="G205" si="56">IF(E205&lt;0,E205,0)</f>
        <v>0</v>
      </c>
    </row>
    <row r="206" spans="1:7" ht="15.75" thickBot="1">
      <c r="A206" s="1200"/>
      <c r="B206" s="1218" t="s">
        <v>1118</v>
      </c>
      <c r="C206" s="1311">
        <f>SUM(C205)</f>
        <v>235964.87899744863</v>
      </c>
      <c r="D206" s="1312">
        <f>SUM(D205)</f>
        <v>-30778.02769531939</v>
      </c>
      <c r="E206" s="1313">
        <f>SUM(E205)</f>
        <v>205186.85130212925</v>
      </c>
      <c r="F206" s="1312">
        <f t="shared" ref="F206:G206" si="57">SUM(F205)</f>
        <v>205186.85130212925</v>
      </c>
      <c r="G206" s="1312">
        <f t="shared" si="57"/>
        <v>0</v>
      </c>
    </row>
    <row r="207" spans="1:7" ht="15.75" thickTop="1">
      <c r="A207" s="1282"/>
      <c r="B207" s="1314"/>
      <c r="C207" s="1315"/>
      <c r="D207" s="1222"/>
      <c r="E207" s="1222"/>
      <c r="F207" s="1222"/>
      <c r="G207" s="1316"/>
    </row>
    <row r="208" spans="1:7" ht="15.75" thickBot="1">
      <c r="A208" s="1200"/>
      <c r="B208" s="1218" t="s">
        <v>1119</v>
      </c>
      <c r="C208" s="1334">
        <f>'October midyear adj'!K205</f>
        <v>0</v>
      </c>
      <c r="D208" s="1334">
        <v>0</v>
      </c>
      <c r="E208" s="1335">
        <v>0</v>
      </c>
      <c r="F208" s="1334">
        <f>IF(E208&gt;0,E208,0)</f>
        <v>0</v>
      </c>
      <c r="G208" s="1327">
        <f t="shared" ref="G208" si="58">IF(E208&lt;0,E208,0)</f>
        <v>0</v>
      </c>
    </row>
    <row r="209" spans="1:7" ht="15.75" thickTop="1">
      <c r="A209" s="1282"/>
      <c r="B209" s="1314"/>
      <c r="C209" s="1222"/>
      <c r="D209" s="1222"/>
      <c r="E209" s="1222"/>
      <c r="F209" s="1222"/>
      <c r="G209" s="1223"/>
    </row>
    <row r="210" spans="1:7" ht="15.75" thickBot="1">
      <c r="A210" s="1200"/>
      <c r="B210" s="1218" t="s">
        <v>1120</v>
      </c>
      <c r="C210" s="1336">
        <f>C74+C78+C81+C84+C94+C98+C105+C111+C119+C126+C130+C133+C140+C192+C200+C203+C206+C208</f>
        <v>42716978.587673128</v>
      </c>
      <c r="D210" s="1337">
        <f>D74+D78+D81+D84+D94+D98+D105+D111+D119+D126+D130+D133+D140+D192+D200+D203+D206+D208</f>
        <v>-7421301.6510859877</v>
      </c>
      <c r="E210" s="1336">
        <f t="shared" ref="E210:G210" si="59">E74+E78+E81+E84+E94+E98+E105+E111+E119+E126+E130+E133+E140+E192+E200+E203+E206+E208</f>
        <v>35295676.93658714</v>
      </c>
      <c r="F210" s="1336">
        <f t="shared" si="59"/>
        <v>49189767.657081261</v>
      </c>
      <c r="G210" s="1337">
        <f t="shared" si="59"/>
        <v>-13894090.720494114</v>
      </c>
    </row>
    <row r="211" spans="1:7" ht="13.5" thickTop="1">
      <c r="A211" s="1338"/>
      <c r="G211" s="1339"/>
    </row>
    <row r="212" spans="1:7">
      <c r="A212" s="1294"/>
      <c r="G212" s="1294"/>
    </row>
    <row r="213" spans="1:7">
      <c r="A213" s="1294"/>
      <c r="G213" s="1294"/>
    </row>
    <row r="214" spans="1:7">
      <c r="A214" s="1294"/>
      <c r="G214" s="1294"/>
    </row>
    <row r="215" spans="1:7">
      <c r="A215" s="1294"/>
      <c r="G215" s="1294"/>
    </row>
    <row r="216" spans="1:7">
      <c r="A216" s="1294"/>
      <c r="G216" s="1294"/>
    </row>
    <row r="217" spans="1:7">
      <c r="A217" s="1294"/>
      <c r="G217" s="1294"/>
    </row>
    <row r="218" spans="1:7">
      <c r="A218" s="1294"/>
      <c r="G218" s="1294"/>
    </row>
    <row r="219" spans="1:7">
      <c r="A219" s="1294"/>
      <c r="G219" s="1294"/>
    </row>
    <row r="220" spans="1:7">
      <c r="A220" s="1294"/>
      <c r="G220" s="1294"/>
    </row>
    <row r="221" spans="1:7">
      <c r="A221" s="1294"/>
      <c r="G221" s="1294"/>
    </row>
    <row r="222" spans="1:7">
      <c r="A222" s="1294"/>
      <c r="G222" s="1294"/>
    </row>
    <row r="223" spans="1:7">
      <c r="A223" s="1294"/>
      <c r="G223" s="1294"/>
    </row>
    <row r="224" spans="1:7">
      <c r="A224" s="1294"/>
      <c r="G224" s="1294"/>
    </row>
    <row r="225" spans="1:7">
      <c r="A225" s="1294"/>
      <c r="G225" s="1294"/>
    </row>
    <row r="226" spans="1:7">
      <c r="A226" s="1294"/>
      <c r="G226" s="1294"/>
    </row>
    <row r="227" spans="1:7">
      <c r="A227" s="1294"/>
      <c r="G227" s="1294"/>
    </row>
    <row r="228" spans="1:7">
      <c r="A228" s="1294"/>
      <c r="G228" s="1294"/>
    </row>
    <row r="229" spans="1:7">
      <c r="A229" s="1294"/>
      <c r="G229" s="1294"/>
    </row>
    <row r="230" spans="1:7">
      <c r="A230" s="1294"/>
      <c r="G230" s="1294"/>
    </row>
    <row r="231" spans="1:7">
      <c r="A231" s="1294"/>
      <c r="G231" s="1294"/>
    </row>
    <row r="232" spans="1:7">
      <c r="A232" s="1294"/>
      <c r="G232" s="1294"/>
    </row>
    <row r="233" spans="1:7">
      <c r="A233" s="1294"/>
      <c r="G233" s="1294"/>
    </row>
    <row r="234" spans="1:7">
      <c r="A234" s="1294"/>
      <c r="G234" s="1294"/>
    </row>
    <row r="235" spans="1:7">
      <c r="A235" s="1294"/>
      <c r="G235" s="1294"/>
    </row>
    <row r="236" spans="1:7">
      <c r="A236" s="1294"/>
      <c r="G236" s="1294"/>
    </row>
    <row r="237" spans="1:7">
      <c r="A237" s="1294"/>
      <c r="G237" s="1294"/>
    </row>
    <row r="238" spans="1:7">
      <c r="A238" s="1294"/>
      <c r="G238" s="1294"/>
    </row>
    <row r="239" spans="1:7">
      <c r="A239" s="1294"/>
      <c r="G239" s="1294"/>
    </row>
    <row r="240" spans="1:7">
      <c r="A240" s="1294"/>
      <c r="G240" s="1294"/>
    </row>
    <row r="241" spans="1:7">
      <c r="A241" s="1294"/>
      <c r="G241" s="1294"/>
    </row>
    <row r="242" spans="1:7">
      <c r="A242" s="1294"/>
      <c r="G242" s="1294"/>
    </row>
    <row r="243" spans="1:7">
      <c r="A243" s="1294"/>
      <c r="G243" s="1294"/>
    </row>
    <row r="244" spans="1:7">
      <c r="A244" s="1294"/>
      <c r="G244" s="1294"/>
    </row>
    <row r="245" spans="1:7">
      <c r="A245" s="1294"/>
      <c r="G245" s="1294"/>
    </row>
    <row r="246" spans="1:7">
      <c r="A246" s="1294"/>
      <c r="G246" s="1294"/>
    </row>
    <row r="247" spans="1:7">
      <c r="A247" s="1294"/>
      <c r="G247" s="1294"/>
    </row>
    <row r="248" spans="1:7">
      <c r="A248" s="1294"/>
      <c r="G248" s="1294"/>
    </row>
    <row r="249" spans="1:7">
      <c r="A249" s="1294"/>
      <c r="G249" s="1294"/>
    </row>
    <row r="250" spans="1:7">
      <c r="A250" s="1294"/>
      <c r="G250" s="1294"/>
    </row>
    <row r="251" spans="1:7">
      <c r="A251" s="1294"/>
      <c r="G251" s="1294"/>
    </row>
    <row r="252" spans="1:7">
      <c r="A252" s="1294"/>
      <c r="G252" s="1294"/>
    </row>
    <row r="253" spans="1:7">
      <c r="A253" s="1294"/>
      <c r="G253" s="1294"/>
    </row>
    <row r="254" spans="1:7">
      <c r="A254" s="1294"/>
      <c r="G254" s="1294"/>
    </row>
    <row r="255" spans="1:7">
      <c r="A255" s="1294"/>
      <c r="G255" s="1294"/>
    </row>
    <row r="256" spans="1:7">
      <c r="A256" s="1294"/>
      <c r="G256" s="1294"/>
    </row>
    <row r="257" spans="1:7">
      <c r="A257" s="1294"/>
      <c r="G257" s="1294"/>
    </row>
    <row r="258" spans="1:7">
      <c r="A258" s="1294"/>
      <c r="G258" s="1294"/>
    </row>
    <row r="259" spans="1:7">
      <c r="A259" s="1294"/>
      <c r="G259" s="1294"/>
    </row>
    <row r="260" spans="1:7">
      <c r="A260" s="1294"/>
      <c r="G260" s="1294"/>
    </row>
    <row r="261" spans="1:7">
      <c r="A261" s="1294"/>
      <c r="G261" s="1294"/>
    </row>
    <row r="262" spans="1:7">
      <c r="A262" s="1294"/>
      <c r="G262" s="1294"/>
    </row>
    <row r="263" spans="1:7">
      <c r="A263" s="1294"/>
      <c r="G263" s="1294"/>
    </row>
    <row r="264" spans="1:7">
      <c r="A264" s="1294"/>
      <c r="G264" s="1294"/>
    </row>
    <row r="265" spans="1:7">
      <c r="A265" s="1294"/>
      <c r="G265" s="1294"/>
    </row>
    <row r="266" spans="1:7">
      <c r="A266" s="1294"/>
      <c r="G266" s="1294"/>
    </row>
    <row r="267" spans="1:7">
      <c r="A267" s="1294"/>
      <c r="G267" s="1294"/>
    </row>
    <row r="268" spans="1:7">
      <c r="A268" s="1294"/>
      <c r="G268" s="1294"/>
    </row>
    <row r="269" spans="1:7">
      <c r="A269" s="1294"/>
      <c r="G269" s="1294"/>
    </row>
    <row r="270" spans="1:7">
      <c r="A270" s="1294"/>
      <c r="G270" s="1294"/>
    </row>
    <row r="271" spans="1:7">
      <c r="A271" s="1294"/>
      <c r="G271" s="1294"/>
    </row>
    <row r="272" spans="1:7">
      <c r="A272" s="1294"/>
      <c r="G272" s="1294"/>
    </row>
    <row r="273" spans="1:7">
      <c r="A273" s="1294"/>
      <c r="G273" s="1294"/>
    </row>
    <row r="274" spans="1:7">
      <c r="A274" s="1294"/>
      <c r="G274" s="1294"/>
    </row>
    <row r="275" spans="1:7">
      <c r="A275" s="1294"/>
      <c r="G275" s="1294"/>
    </row>
    <row r="276" spans="1:7">
      <c r="A276" s="1294"/>
      <c r="G276" s="1294"/>
    </row>
    <row r="277" spans="1:7">
      <c r="A277" s="1294"/>
      <c r="G277" s="1294"/>
    </row>
    <row r="278" spans="1:7">
      <c r="A278" s="1294"/>
      <c r="G278" s="1294"/>
    </row>
    <row r="279" spans="1:7">
      <c r="A279" s="1294"/>
      <c r="G279" s="1294"/>
    </row>
    <row r="280" spans="1:7">
      <c r="A280" s="1294"/>
      <c r="G280" s="1294"/>
    </row>
    <row r="281" spans="1:7">
      <c r="A281" s="1294"/>
      <c r="G281" s="1294"/>
    </row>
    <row r="282" spans="1:7">
      <c r="A282" s="1294"/>
      <c r="G282" s="1294"/>
    </row>
    <row r="283" spans="1:7">
      <c r="A283" s="1294"/>
      <c r="G283" s="1294"/>
    </row>
    <row r="284" spans="1:7">
      <c r="A284" s="1294"/>
      <c r="G284" s="1294"/>
    </row>
    <row r="285" spans="1:7">
      <c r="A285" s="1294"/>
      <c r="G285" s="1294"/>
    </row>
    <row r="286" spans="1:7">
      <c r="A286" s="1294"/>
      <c r="G286" s="1294"/>
    </row>
    <row r="287" spans="1:7">
      <c r="A287" s="1294"/>
      <c r="G287" s="1294"/>
    </row>
    <row r="288" spans="1:7">
      <c r="A288" s="1294"/>
      <c r="G288" s="1294"/>
    </row>
    <row r="289" spans="1:7">
      <c r="A289" s="1294"/>
      <c r="G289" s="1294"/>
    </row>
    <row r="290" spans="1:7">
      <c r="A290" s="1294"/>
      <c r="G290" s="1294"/>
    </row>
    <row r="291" spans="1:7">
      <c r="A291" s="1294"/>
      <c r="G291" s="1294"/>
    </row>
    <row r="292" spans="1:7">
      <c r="A292" s="1294"/>
      <c r="G292" s="1294"/>
    </row>
    <row r="293" spans="1:7">
      <c r="A293" s="1294"/>
      <c r="G293" s="1294"/>
    </row>
    <row r="294" spans="1:7">
      <c r="A294" s="1294"/>
      <c r="G294" s="1294"/>
    </row>
    <row r="295" spans="1:7">
      <c r="A295" s="1294"/>
      <c r="G295" s="1294"/>
    </row>
    <row r="296" spans="1:7">
      <c r="A296" s="1294"/>
      <c r="G296" s="1294"/>
    </row>
  </sheetData>
  <mergeCells count="7">
    <mergeCell ref="G2:G3"/>
    <mergeCell ref="A2:A3"/>
    <mergeCell ref="B2:B3"/>
    <mergeCell ref="C2:C3"/>
    <mergeCell ref="D2:D3"/>
    <mergeCell ref="E2:E3"/>
    <mergeCell ref="F2:F3"/>
  </mergeCells>
  <pageMargins left="0.4" right="0.37" top="0.75" bottom="0.75" header="0.3" footer="0.3"/>
  <pageSetup paperSize="5" scale="55" orientation="portrait" r:id="rId1"/>
  <headerFooter>
    <oddHeader xml:space="preserve">&amp;L&amp;"Arial,Bold"&amp;22FY2011-12 MFP Budget Letter: March 2012 
Summary of Mid-year Adjustments for Students </oddHeader>
  </headerFooter>
  <rowBreaks count="2" manualBreakCount="2">
    <brk id="85" max="16383" man="1"/>
    <brk id="166" max="16383" man="1"/>
  </rowBreaks>
</worksheet>
</file>

<file path=xl/worksheets/sheet19.xml><?xml version="1.0" encoding="utf-8"?>
<worksheet xmlns="http://schemas.openxmlformats.org/spreadsheetml/2006/main" xmlns:r="http://schemas.openxmlformats.org/officeDocument/2006/relationships">
  <dimension ref="A1:M217"/>
  <sheetViews>
    <sheetView view="pageBreakPreview" zoomScale="70" zoomScaleNormal="70" zoomScaleSheetLayoutView="70" workbookViewId="0">
      <pane xSplit="2" ySplit="5" topLeftCell="C6" activePane="bottomRight" state="frozen"/>
      <selection pane="topRight"/>
      <selection pane="bottomLeft"/>
      <selection pane="bottomRight" activeCell="A209" sqref="A209:XFD217"/>
    </sheetView>
  </sheetViews>
  <sheetFormatPr defaultRowHeight="12.75"/>
  <cols>
    <col min="1" max="1" width="8.42578125" style="1181" customWidth="1"/>
    <col min="2" max="2" width="61.28515625" style="1181" customWidth="1"/>
    <col min="3" max="3" width="13" style="1181" customWidth="1"/>
    <col min="4" max="5" width="12.5703125" style="1181" customWidth="1"/>
    <col min="6" max="6" width="11.7109375" style="1181" customWidth="1"/>
    <col min="7" max="7" width="11.85546875" style="1181" customWidth="1"/>
    <col min="8" max="8" width="13.140625" style="1465" customWidth="1"/>
    <col min="9" max="9" width="11.5703125" style="1466" customWidth="1"/>
    <col min="10" max="10" width="15.42578125" style="1181" customWidth="1"/>
    <col min="11" max="11" width="16.85546875" style="1465" customWidth="1"/>
    <col min="12" max="12" width="15.7109375" style="1181" customWidth="1"/>
    <col min="13" max="13" width="16.7109375" style="1181" customWidth="1"/>
    <col min="14" max="256" width="9.140625" style="1181"/>
    <col min="257" max="257" width="4.42578125" style="1181" customWidth="1"/>
    <col min="258" max="258" width="46.85546875" style="1181" customWidth="1"/>
    <col min="259" max="259" width="11.28515625" style="1181" bestFit="1" customWidth="1"/>
    <col min="260" max="260" width="11.42578125" style="1181" bestFit="1" customWidth="1"/>
    <col min="261" max="261" width="11.85546875" style="1181" customWidth="1"/>
    <col min="262" max="262" width="10" style="1181" customWidth="1"/>
    <col min="263" max="263" width="11.140625" style="1181" customWidth="1"/>
    <col min="264" max="264" width="10.28515625" style="1181" bestFit="1" customWidth="1"/>
    <col min="265" max="265" width="10.140625" style="1181" bestFit="1" customWidth="1"/>
    <col min="266" max="266" width="12" style="1181" bestFit="1" customWidth="1"/>
    <col min="267" max="267" width="14.28515625" style="1181" bestFit="1" customWidth="1"/>
    <col min="268" max="268" width="13.5703125" style="1181" bestFit="1" customWidth="1"/>
    <col min="269" max="269" width="13.85546875" style="1181" bestFit="1" customWidth="1"/>
    <col min="270" max="512" width="9.140625" style="1181"/>
    <col min="513" max="513" width="4.42578125" style="1181" customWidth="1"/>
    <col min="514" max="514" width="46.85546875" style="1181" customWidth="1"/>
    <col min="515" max="515" width="11.28515625" style="1181" bestFit="1" customWidth="1"/>
    <col min="516" max="516" width="11.42578125" style="1181" bestFit="1" customWidth="1"/>
    <col min="517" max="517" width="11.85546875" style="1181" customWidth="1"/>
    <col min="518" max="518" width="10" style="1181" customWidth="1"/>
    <col min="519" max="519" width="11.140625" style="1181" customWidth="1"/>
    <col min="520" max="520" width="10.28515625" style="1181" bestFit="1" customWidth="1"/>
    <col min="521" max="521" width="10.140625" style="1181" bestFit="1" customWidth="1"/>
    <col min="522" max="522" width="12" style="1181" bestFit="1" customWidth="1"/>
    <col min="523" max="523" width="14.28515625" style="1181" bestFit="1" customWidth="1"/>
    <col min="524" max="524" width="13.5703125" style="1181" bestFit="1" customWidth="1"/>
    <col min="525" max="525" width="13.85546875" style="1181" bestFit="1" customWidth="1"/>
    <col min="526" max="768" width="9.140625" style="1181"/>
    <col min="769" max="769" width="4.42578125" style="1181" customWidth="1"/>
    <col min="770" max="770" width="46.85546875" style="1181" customWidth="1"/>
    <col min="771" max="771" width="11.28515625" style="1181" bestFit="1" customWidth="1"/>
    <col min="772" max="772" width="11.42578125" style="1181" bestFit="1" customWidth="1"/>
    <col min="773" max="773" width="11.85546875" style="1181" customWidth="1"/>
    <col min="774" max="774" width="10" style="1181" customWidth="1"/>
    <col min="775" max="775" width="11.140625" style="1181" customWidth="1"/>
    <col min="776" max="776" width="10.28515625" style="1181" bestFit="1" customWidth="1"/>
    <col min="777" max="777" width="10.140625" style="1181" bestFit="1" customWidth="1"/>
    <col min="778" max="778" width="12" style="1181" bestFit="1" customWidth="1"/>
    <col min="779" max="779" width="14.28515625" style="1181" bestFit="1" customWidth="1"/>
    <col min="780" max="780" width="13.5703125" style="1181" bestFit="1" customWidth="1"/>
    <col min="781" max="781" width="13.85546875" style="1181" bestFit="1" customWidth="1"/>
    <col min="782" max="1024" width="9.140625" style="1181"/>
    <col min="1025" max="1025" width="4.42578125" style="1181" customWidth="1"/>
    <col min="1026" max="1026" width="46.85546875" style="1181" customWidth="1"/>
    <col min="1027" max="1027" width="11.28515625" style="1181" bestFit="1" customWidth="1"/>
    <col min="1028" max="1028" width="11.42578125" style="1181" bestFit="1" customWidth="1"/>
    <col min="1029" max="1029" width="11.85546875" style="1181" customWidth="1"/>
    <col min="1030" max="1030" width="10" style="1181" customWidth="1"/>
    <col min="1031" max="1031" width="11.140625" style="1181" customWidth="1"/>
    <col min="1032" max="1032" width="10.28515625" style="1181" bestFit="1" customWidth="1"/>
    <col min="1033" max="1033" width="10.140625" style="1181" bestFit="1" customWidth="1"/>
    <col min="1034" max="1034" width="12" style="1181" bestFit="1" customWidth="1"/>
    <col min="1035" max="1035" width="14.28515625" style="1181" bestFit="1" customWidth="1"/>
    <col min="1036" max="1036" width="13.5703125" style="1181" bestFit="1" customWidth="1"/>
    <col min="1037" max="1037" width="13.85546875" style="1181" bestFit="1" customWidth="1"/>
    <col min="1038" max="1280" width="9.140625" style="1181"/>
    <col min="1281" max="1281" width="4.42578125" style="1181" customWidth="1"/>
    <col min="1282" max="1282" width="46.85546875" style="1181" customWidth="1"/>
    <col min="1283" max="1283" width="11.28515625" style="1181" bestFit="1" customWidth="1"/>
    <col min="1284" max="1284" width="11.42578125" style="1181" bestFit="1" customWidth="1"/>
    <col min="1285" max="1285" width="11.85546875" style="1181" customWidth="1"/>
    <col min="1286" max="1286" width="10" style="1181" customWidth="1"/>
    <col min="1287" max="1287" width="11.140625" style="1181" customWidth="1"/>
    <col min="1288" max="1288" width="10.28515625" style="1181" bestFit="1" customWidth="1"/>
    <col min="1289" max="1289" width="10.140625" style="1181" bestFit="1" customWidth="1"/>
    <col min="1290" max="1290" width="12" style="1181" bestFit="1" customWidth="1"/>
    <col min="1291" max="1291" width="14.28515625" style="1181" bestFit="1" customWidth="1"/>
    <col min="1292" max="1292" width="13.5703125" style="1181" bestFit="1" customWidth="1"/>
    <col min="1293" max="1293" width="13.85546875" style="1181" bestFit="1" customWidth="1"/>
    <col min="1294" max="1536" width="9.140625" style="1181"/>
    <col min="1537" max="1537" width="4.42578125" style="1181" customWidth="1"/>
    <col min="1538" max="1538" width="46.85546875" style="1181" customWidth="1"/>
    <col min="1539" max="1539" width="11.28515625" style="1181" bestFit="1" customWidth="1"/>
    <col min="1540" max="1540" width="11.42578125" style="1181" bestFit="1" customWidth="1"/>
    <col min="1541" max="1541" width="11.85546875" style="1181" customWidth="1"/>
    <col min="1542" max="1542" width="10" style="1181" customWidth="1"/>
    <col min="1543" max="1543" width="11.140625" style="1181" customWidth="1"/>
    <col min="1544" max="1544" width="10.28515625" style="1181" bestFit="1" customWidth="1"/>
    <col min="1545" max="1545" width="10.140625" style="1181" bestFit="1" customWidth="1"/>
    <col min="1546" max="1546" width="12" style="1181" bestFit="1" customWidth="1"/>
    <col min="1547" max="1547" width="14.28515625" style="1181" bestFit="1" customWidth="1"/>
    <col min="1548" max="1548" width="13.5703125" style="1181" bestFit="1" customWidth="1"/>
    <col min="1549" max="1549" width="13.85546875" style="1181" bestFit="1" customWidth="1"/>
    <col min="1550" max="1792" width="9.140625" style="1181"/>
    <col min="1793" max="1793" width="4.42578125" style="1181" customWidth="1"/>
    <col min="1794" max="1794" width="46.85546875" style="1181" customWidth="1"/>
    <col min="1795" max="1795" width="11.28515625" style="1181" bestFit="1" customWidth="1"/>
    <col min="1796" max="1796" width="11.42578125" style="1181" bestFit="1" customWidth="1"/>
    <col min="1797" max="1797" width="11.85546875" style="1181" customWidth="1"/>
    <col min="1798" max="1798" width="10" style="1181" customWidth="1"/>
    <col min="1799" max="1799" width="11.140625" style="1181" customWidth="1"/>
    <col min="1800" max="1800" width="10.28515625" style="1181" bestFit="1" customWidth="1"/>
    <col min="1801" max="1801" width="10.140625" style="1181" bestFit="1" customWidth="1"/>
    <col min="1802" max="1802" width="12" style="1181" bestFit="1" customWidth="1"/>
    <col min="1803" max="1803" width="14.28515625" style="1181" bestFit="1" customWidth="1"/>
    <col min="1804" max="1804" width="13.5703125" style="1181" bestFit="1" customWidth="1"/>
    <col min="1805" max="1805" width="13.85546875" style="1181" bestFit="1" customWidth="1"/>
    <col min="1806" max="2048" width="9.140625" style="1181"/>
    <col min="2049" max="2049" width="4.42578125" style="1181" customWidth="1"/>
    <col min="2050" max="2050" width="46.85546875" style="1181" customWidth="1"/>
    <col min="2051" max="2051" width="11.28515625" style="1181" bestFit="1" customWidth="1"/>
    <col min="2052" max="2052" width="11.42578125" style="1181" bestFit="1" customWidth="1"/>
    <col min="2053" max="2053" width="11.85546875" style="1181" customWidth="1"/>
    <col min="2054" max="2054" width="10" style="1181" customWidth="1"/>
    <col min="2055" max="2055" width="11.140625" style="1181" customWidth="1"/>
    <col min="2056" max="2056" width="10.28515625" style="1181" bestFit="1" customWidth="1"/>
    <col min="2057" max="2057" width="10.140625" style="1181" bestFit="1" customWidth="1"/>
    <col min="2058" max="2058" width="12" style="1181" bestFit="1" customWidth="1"/>
    <col min="2059" max="2059" width="14.28515625" style="1181" bestFit="1" customWidth="1"/>
    <col min="2060" max="2060" width="13.5703125" style="1181" bestFit="1" customWidth="1"/>
    <col min="2061" max="2061" width="13.85546875" style="1181" bestFit="1" customWidth="1"/>
    <col min="2062" max="2304" width="9.140625" style="1181"/>
    <col min="2305" max="2305" width="4.42578125" style="1181" customWidth="1"/>
    <col min="2306" max="2306" width="46.85546875" style="1181" customWidth="1"/>
    <col min="2307" max="2307" width="11.28515625" style="1181" bestFit="1" customWidth="1"/>
    <col min="2308" max="2308" width="11.42578125" style="1181" bestFit="1" customWidth="1"/>
    <col min="2309" max="2309" width="11.85546875" style="1181" customWidth="1"/>
    <col min="2310" max="2310" width="10" style="1181" customWidth="1"/>
    <col min="2311" max="2311" width="11.140625" style="1181" customWidth="1"/>
    <col min="2312" max="2312" width="10.28515625" style="1181" bestFit="1" customWidth="1"/>
    <col min="2313" max="2313" width="10.140625" style="1181" bestFit="1" customWidth="1"/>
    <col min="2314" max="2314" width="12" style="1181" bestFit="1" customWidth="1"/>
    <col min="2315" max="2315" width="14.28515625" style="1181" bestFit="1" customWidth="1"/>
    <col min="2316" max="2316" width="13.5703125" style="1181" bestFit="1" customWidth="1"/>
    <col min="2317" max="2317" width="13.85546875" style="1181" bestFit="1" customWidth="1"/>
    <col min="2318" max="2560" width="9.140625" style="1181"/>
    <col min="2561" max="2561" width="4.42578125" style="1181" customWidth="1"/>
    <col min="2562" max="2562" width="46.85546875" style="1181" customWidth="1"/>
    <col min="2563" max="2563" width="11.28515625" style="1181" bestFit="1" customWidth="1"/>
    <col min="2564" max="2564" width="11.42578125" style="1181" bestFit="1" customWidth="1"/>
    <col min="2565" max="2565" width="11.85546875" style="1181" customWidth="1"/>
    <col min="2566" max="2566" width="10" style="1181" customWidth="1"/>
    <col min="2567" max="2567" width="11.140625" style="1181" customWidth="1"/>
    <col min="2568" max="2568" width="10.28515625" style="1181" bestFit="1" customWidth="1"/>
    <col min="2569" max="2569" width="10.140625" style="1181" bestFit="1" customWidth="1"/>
    <col min="2570" max="2570" width="12" style="1181" bestFit="1" customWidth="1"/>
    <col min="2571" max="2571" width="14.28515625" style="1181" bestFit="1" customWidth="1"/>
    <col min="2572" max="2572" width="13.5703125" style="1181" bestFit="1" customWidth="1"/>
    <col min="2573" max="2573" width="13.85546875" style="1181" bestFit="1" customWidth="1"/>
    <col min="2574" max="2816" width="9.140625" style="1181"/>
    <col min="2817" max="2817" width="4.42578125" style="1181" customWidth="1"/>
    <col min="2818" max="2818" width="46.85546875" style="1181" customWidth="1"/>
    <col min="2819" max="2819" width="11.28515625" style="1181" bestFit="1" customWidth="1"/>
    <col min="2820" max="2820" width="11.42578125" style="1181" bestFit="1" customWidth="1"/>
    <col min="2821" max="2821" width="11.85546875" style="1181" customWidth="1"/>
    <col min="2822" max="2822" width="10" style="1181" customWidth="1"/>
    <col min="2823" max="2823" width="11.140625" style="1181" customWidth="1"/>
    <col min="2824" max="2824" width="10.28515625" style="1181" bestFit="1" customWidth="1"/>
    <col min="2825" max="2825" width="10.140625" style="1181" bestFit="1" customWidth="1"/>
    <col min="2826" max="2826" width="12" style="1181" bestFit="1" customWidth="1"/>
    <col min="2827" max="2827" width="14.28515625" style="1181" bestFit="1" customWidth="1"/>
    <col min="2828" max="2828" width="13.5703125" style="1181" bestFit="1" customWidth="1"/>
    <col min="2829" max="2829" width="13.85546875" style="1181" bestFit="1" customWidth="1"/>
    <col min="2830" max="3072" width="9.140625" style="1181"/>
    <col min="3073" max="3073" width="4.42578125" style="1181" customWidth="1"/>
    <col min="3074" max="3074" width="46.85546875" style="1181" customWidth="1"/>
    <col min="3075" max="3075" width="11.28515625" style="1181" bestFit="1" customWidth="1"/>
    <col min="3076" max="3076" width="11.42578125" style="1181" bestFit="1" customWidth="1"/>
    <col min="3077" max="3077" width="11.85546875" style="1181" customWidth="1"/>
    <col min="3078" max="3078" width="10" style="1181" customWidth="1"/>
    <col min="3079" max="3079" width="11.140625" style="1181" customWidth="1"/>
    <col min="3080" max="3080" width="10.28515625" style="1181" bestFit="1" customWidth="1"/>
    <col min="3081" max="3081" width="10.140625" style="1181" bestFit="1" customWidth="1"/>
    <col min="3082" max="3082" width="12" style="1181" bestFit="1" customWidth="1"/>
    <col min="3083" max="3083" width="14.28515625" style="1181" bestFit="1" customWidth="1"/>
    <col min="3084" max="3084" width="13.5703125" style="1181" bestFit="1" customWidth="1"/>
    <col min="3085" max="3085" width="13.85546875" style="1181" bestFit="1" customWidth="1"/>
    <col min="3086" max="3328" width="9.140625" style="1181"/>
    <col min="3329" max="3329" width="4.42578125" style="1181" customWidth="1"/>
    <col min="3330" max="3330" width="46.85546875" style="1181" customWidth="1"/>
    <col min="3331" max="3331" width="11.28515625" style="1181" bestFit="1" customWidth="1"/>
    <col min="3332" max="3332" width="11.42578125" style="1181" bestFit="1" customWidth="1"/>
    <col min="3333" max="3333" width="11.85546875" style="1181" customWidth="1"/>
    <col min="3334" max="3334" width="10" style="1181" customWidth="1"/>
    <col min="3335" max="3335" width="11.140625" style="1181" customWidth="1"/>
    <col min="3336" max="3336" width="10.28515625" style="1181" bestFit="1" customWidth="1"/>
    <col min="3337" max="3337" width="10.140625" style="1181" bestFit="1" customWidth="1"/>
    <col min="3338" max="3338" width="12" style="1181" bestFit="1" customWidth="1"/>
    <col min="3339" max="3339" width="14.28515625" style="1181" bestFit="1" customWidth="1"/>
    <col min="3340" max="3340" width="13.5703125" style="1181" bestFit="1" customWidth="1"/>
    <col min="3341" max="3341" width="13.85546875" style="1181" bestFit="1" customWidth="1"/>
    <col min="3342" max="3584" width="9.140625" style="1181"/>
    <col min="3585" max="3585" width="4.42578125" style="1181" customWidth="1"/>
    <col min="3586" max="3586" width="46.85546875" style="1181" customWidth="1"/>
    <col min="3587" max="3587" width="11.28515625" style="1181" bestFit="1" customWidth="1"/>
    <col min="3588" max="3588" width="11.42578125" style="1181" bestFit="1" customWidth="1"/>
    <col min="3589" max="3589" width="11.85546875" style="1181" customWidth="1"/>
    <col min="3590" max="3590" width="10" style="1181" customWidth="1"/>
    <col min="3591" max="3591" width="11.140625" style="1181" customWidth="1"/>
    <col min="3592" max="3592" width="10.28515625" style="1181" bestFit="1" customWidth="1"/>
    <col min="3593" max="3593" width="10.140625" style="1181" bestFit="1" customWidth="1"/>
    <col min="3594" max="3594" width="12" style="1181" bestFit="1" customWidth="1"/>
    <col min="3595" max="3595" width="14.28515625" style="1181" bestFit="1" customWidth="1"/>
    <col min="3596" max="3596" width="13.5703125" style="1181" bestFit="1" customWidth="1"/>
    <col min="3597" max="3597" width="13.85546875" style="1181" bestFit="1" customWidth="1"/>
    <col min="3598" max="3840" width="9.140625" style="1181"/>
    <col min="3841" max="3841" width="4.42578125" style="1181" customWidth="1"/>
    <col min="3842" max="3842" width="46.85546875" style="1181" customWidth="1"/>
    <col min="3843" max="3843" width="11.28515625" style="1181" bestFit="1" customWidth="1"/>
    <col min="3844" max="3844" width="11.42578125" style="1181" bestFit="1" customWidth="1"/>
    <col min="3845" max="3845" width="11.85546875" style="1181" customWidth="1"/>
    <col min="3846" max="3846" width="10" style="1181" customWidth="1"/>
    <col min="3847" max="3847" width="11.140625" style="1181" customWidth="1"/>
    <col min="3848" max="3848" width="10.28515625" style="1181" bestFit="1" customWidth="1"/>
    <col min="3849" max="3849" width="10.140625" style="1181" bestFit="1" customWidth="1"/>
    <col min="3850" max="3850" width="12" style="1181" bestFit="1" customWidth="1"/>
    <col min="3851" max="3851" width="14.28515625" style="1181" bestFit="1" customWidth="1"/>
    <col min="3852" max="3852" width="13.5703125" style="1181" bestFit="1" customWidth="1"/>
    <col min="3853" max="3853" width="13.85546875" style="1181" bestFit="1" customWidth="1"/>
    <col min="3854" max="4096" width="9.140625" style="1181"/>
    <col min="4097" max="4097" width="4.42578125" style="1181" customWidth="1"/>
    <col min="4098" max="4098" width="46.85546875" style="1181" customWidth="1"/>
    <col min="4099" max="4099" width="11.28515625" style="1181" bestFit="1" customWidth="1"/>
    <col min="4100" max="4100" width="11.42578125" style="1181" bestFit="1" customWidth="1"/>
    <col min="4101" max="4101" width="11.85546875" style="1181" customWidth="1"/>
    <col min="4102" max="4102" width="10" style="1181" customWidth="1"/>
    <col min="4103" max="4103" width="11.140625" style="1181" customWidth="1"/>
    <col min="4104" max="4104" width="10.28515625" style="1181" bestFit="1" customWidth="1"/>
    <col min="4105" max="4105" width="10.140625" style="1181" bestFit="1" customWidth="1"/>
    <col min="4106" max="4106" width="12" style="1181" bestFit="1" customWidth="1"/>
    <col min="4107" max="4107" width="14.28515625" style="1181" bestFit="1" customWidth="1"/>
    <col min="4108" max="4108" width="13.5703125" style="1181" bestFit="1" customWidth="1"/>
    <col min="4109" max="4109" width="13.85546875" style="1181" bestFit="1" customWidth="1"/>
    <col min="4110" max="4352" width="9.140625" style="1181"/>
    <col min="4353" max="4353" width="4.42578125" style="1181" customWidth="1"/>
    <col min="4354" max="4354" width="46.85546875" style="1181" customWidth="1"/>
    <col min="4355" max="4355" width="11.28515625" style="1181" bestFit="1" customWidth="1"/>
    <col min="4356" max="4356" width="11.42578125" style="1181" bestFit="1" customWidth="1"/>
    <col min="4357" max="4357" width="11.85546875" style="1181" customWidth="1"/>
    <col min="4358" max="4358" width="10" style="1181" customWidth="1"/>
    <col min="4359" max="4359" width="11.140625" style="1181" customWidth="1"/>
    <col min="4360" max="4360" width="10.28515625" style="1181" bestFit="1" customWidth="1"/>
    <col min="4361" max="4361" width="10.140625" style="1181" bestFit="1" customWidth="1"/>
    <col min="4362" max="4362" width="12" style="1181" bestFit="1" customWidth="1"/>
    <col min="4363" max="4363" width="14.28515625" style="1181" bestFit="1" customWidth="1"/>
    <col min="4364" max="4364" width="13.5703125" style="1181" bestFit="1" customWidth="1"/>
    <col min="4365" max="4365" width="13.85546875" style="1181" bestFit="1" customWidth="1"/>
    <col min="4366" max="4608" width="9.140625" style="1181"/>
    <col min="4609" max="4609" width="4.42578125" style="1181" customWidth="1"/>
    <col min="4610" max="4610" width="46.85546875" style="1181" customWidth="1"/>
    <col min="4611" max="4611" width="11.28515625" style="1181" bestFit="1" customWidth="1"/>
    <col min="4612" max="4612" width="11.42578125" style="1181" bestFit="1" customWidth="1"/>
    <col min="4613" max="4613" width="11.85546875" style="1181" customWidth="1"/>
    <col min="4614" max="4614" width="10" style="1181" customWidth="1"/>
    <col min="4615" max="4615" width="11.140625" style="1181" customWidth="1"/>
    <col min="4616" max="4616" width="10.28515625" style="1181" bestFit="1" customWidth="1"/>
    <col min="4617" max="4617" width="10.140625" style="1181" bestFit="1" customWidth="1"/>
    <col min="4618" max="4618" width="12" style="1181" bestFit="1" customWidth="1"/>
    <col min="4619" max="4619" width="14.28515625" style="1181" bestFit="1" customWidth="1"/>
    <col min="4620" max="4620" width="13.5703125" style="1181" bestFit="1" customWidth="1"/>
    <col min="4621" max="4621" width="13.85546875" style="1181" bestFit="1" customWidth="1"/>
    <col min="4622" max="4864" width="9.140625" style="1181"/>
    <col min="4865" max="4865" width="4.42578125" style="1181" customWidth="1"/>
    <col min="4866" max="4866" width="46.85546875" style="1181" customWidth="1"/>
    <col min="4867" max="4867" width="11.28515625" style="1181" bestFit="1" customWidth="1"/>
    <col min="4868" max="4868" width="11.42578125" style="1181" bestFit="1" customWidth="1"/>
    <col min="4869" max="4869" width="11.85546875" style="1181" customWidth="1"/>
    <col min="4870" max="4870" width="10" style="1181" customWidth="1"/>
    <col min="4871" max="4871" width="11.140625" style="1181" customWidth="1"/>
    <col min="4872" max="4872" width="10.28515625" style="1181" bestFit="1" customWidth="1"/>
    <col min="4873" max="4873" width="10.140625" style="1181" bestFit="1" customWidth="1"/>
    <col min="4874" max="4874" width="12" style="1181" bestFit="1" customWidth="1"/>
    <col min="4875" max="4875" width="14.28515625" style="1181" bestFit="1" customWidth="1"/>
    <col min="4876" max="4876" width="13.5703125" style="1181" bestFit="1" customWidth="1"/>
    <col min="4877" max="4877" width="13.85546875" style="1181" bestFit="1" customWidth="1"/>
    <col min="4878" max="5120" width="9.140625" style="1181"/>
    <col min="5121" max="5121" width="4.42578125" style="1181" customWidth="1"/>
    <col min="5122" max="5122" width="46.85546875" style="1181" customWidth="1"/>
    <col min="5123" max="5123" width="11.28515625" style="1181" bestFit="1" customWidth="1"/>
    <col min="5124" max="5124" width="11.42578125" style="1181" bestFit="1" customWidth="1"/>
    <col min="5125" max="5125" width="11.85546875" style="1181" customWidth="1"/>
    <col min="5126" max="5126" width="10" style="1181" customWidth="1"/>
    <col min="5127" max="5127" width="11.140625" style="1181" customWidth="1"/>
    <col min="5128" max="5128" width="10.28515625" style="1181" bestFit="1" customWidth="1"/>
    <col min="5129" max="5129" width="10.140625" style="1181" bestFit="1" customWidth="1"/>
    <col min="5130" max="5130" width="12" style="1181" bestFit="1" customWidth="1"/>
    <col min="5131" max="5131" width="14.28515625" style="1181" bestFit="1" customWidth="1"/>
    <col min="5132" max="5132" width="13.5703125" style="1181" bestFit="1" customWidth="1"/>
    <col min="5133" max="5133" width="13.85546875" style="1181" bestFit="1" customWidth="1"/>
    <col min="5134" max="5376" width="9.140625" style="1181"/>
    <col min="5377" max="5377" width="4.42578125" style="1181" customWidth="1"/>
    <col min="5378" max="5378" width="46.85546875" style="1181" customWidth="1"/>
    <col min="5379" max="5379" width="11.28515625" style="1181" bestFit="1" customWidth="1"/>
    <col min="5380" max="5380" width="11.42578125" style="1181" bestFit="1" customWidth="1"/>
    <col min="5381" max="5381" width="11.85546875" style="1181" customWidth="1"/>
    <col min="5382" max="5382" width="10" style="1181" customWidth="1"/>
    <col min="5383" max="5383" width="11.140625" style="1181" customWidth="1"/>
    <col min="5384" max="5384" width="10.28515625" style="1181" bestFit="1" customWidth="1"/>
    <col min="5385" max="5385" width="10.140625" style="1181" bestFit="1" customWidth="1"/>
    <col min="5386" max="5386" width="12" style="1181" bestFit="1" customWidth="1"/>
    <col min="5387" max="5387" width="14.28515625" style="1181" bestFit="1" customWidth="1"/>
    <col min="5388" max="5388" width="13.5703125" style="1181" bestFit="1" customWidth="1"/>
    <col min="5389" max="5389" width="13.85546875" style="1181" bestFit="1" customWidth="1"/>
    <col min="5390" max="5632" width="9.140625" style="1181"/>
    <col min="5633" max="5633" width="4.42578125" style="1181" customWidth="1"/>
    <col min="5634" max="5634" width="46.85546875" style="1181" customWidth="1"/>
    <col min="5635" max="5635" width="11.28515625" style="1181" bestFit="1" customWidth="1"/>
    <col min="5636" max="5636" width="11.42578125" style="1181" bestFit="1" customWidth="1"/>
    <col min="5637" max="5637" width="11.85546875" style="1181" customWidth="1"/>
    <col min="5638" max="5638" width="10" style="1181" customWidth="1"/>
    <col min="5639" max="5639" width="11.140625" style="1181" customWidth="1"/>
    <col min="5640" max="5640" width="10.28515625" style="1181" bestFit="1" customWidth="1"/>
    <col min="5641" max="5641" width="10.140625" style="1181" bestFit="1" customWidth="1"/>
    <col min="5642" max="5642" width="12" style="1181" bestFit="1" customWidth="1"/>
    <col min="5643" max="5643" width="14.28515625" style="1181" bestFit="1" customWidth="1"/>
    <col min="5644" max="5644" width="13.5703125" style="1181" bestFit="1" customWidth="1"/>
    <col min="5645" max="5645" width="13.85546875" style="1181" bestFit="1" customWidth="1"/>
    <col min="5646" max="5888" width="9.140625" style="1181"/>
    <col min="5889" max="5889" width="4.42578125" style="1181" customWidth="1"/>
    <col min="5890" max="5890" width="46.85546875" style="1181" customWidth="1"/>
    <col min="5891" max="5891" width="11.28515625" style="1181" bestFit="1" customWidth="1"/>
    <col min="5892" max="5892" width="11.42578125" style="1181" bestFit="1" customWidth="1"/>
    <col min="5893" max="5893" width="11.85546875" style="1181" customWidth="1"/>
    <col min="5894" max="5894" width="10" style="1181" customWidth="1"/>
    <col min="5895" max="5895" width="11.140625" style="1181" customWidth="1"/>
    <col min="5896" max="5896" width="10.28515625" style="1181" bestFit="1" customWidth="1"/>
    <col min="5897" max="5897" width="10.140625" style="1181" bestFit="1" customWidth="1"/>
    <col min="5898" max="5898" width="12" style="1181" bestFit="1" customWidth="1"/>
    <col min="5899" max="5899" width="14.28515625" style="1181" bestFit="1" customWidth="1"/>
    <col min="5900" max="5900" width="13.5703125" style="1181" bestFit="1" customWidth="1"/>
    <col min="5901" max="5901" width="13.85546875" style="1181" bestFit="1" customWidth="1"/>
    <col min="5902" max="6144" width="9.140625" style="1181"/>
    <col min="6145" max="6145" width="4.42578125" style="1181" customWidth="1"/>
    <col min="6146" max="6146" width="46.85546875" style="1181" customWidth="1"/>
    <col min="6147" max="6147" width="11.28515625" style="1181" bestFit="1" customWidth="1"/>
    <col min="6148" max="6148" width="11.42578125" style="1181" bestFit="1" customWidth="1"/>
    <col min="6149" max="6149" width="11.85546875" style="1181" customWidth="1"/>
    <col min="6150" max="6150" width="10" style="1181" customWidth="1"/>
    <col min="6151" max="6151" width="11.140625" style="1181" customWidth="1"/>
    <col min="6152" max="6152" width="10.28515625" style="1181" bestFit="1" customWidth="1"/>
    <col min="6153" max="6153" width="10.140625" style="1181" bestFit="1" customWidth="1"/>
    <col min="6154" max="6154" width="12" style="1181" bestFit="1" customWidth="1"/>
    <col min="6155" max="6155" width="14.28515625" style="1181" bestFit="1" customWidth="1"/>
    <col min="6156" max="6156" width="13.5703125" style="1181" bestFit="1" customWidth="1"/>
    <col min="6157" max="6157" width="13.85546875" style="1181" bestFit="1" customWidth="1"/>
    <col min="6158" max="6400" width="9.140625" style="1181"/>
    <col min="6401" max="6401" width="4.42578125" style="1181" customWidth="1"/>
    <col min="6402" max="6402" width="46.85546875" style="1181" customWidth="1"/>
    <col min="6403" max="6403" width="11.28515625" style="1181" bestFit="1" customWidth="1"/>
    <col min="6404" max="6404" width="11.42578125" style="1181" bestFit="1" customWidth="1"/>
    <col min="6405" max="6405" width="11.85546875" style="1181" customWidth="1"/>
    <col min="6406" max="6406" width="10" style="1181" customWidth="1"/>
    <col min="6407" max="6407" width="11.140625" style="1181" customWidth="1"/>
    <col min="6408" max="6408" width="10.28515625" style="1181" bestFit="1" customWidth="1"/>
    <col min="6409" max="6409" width="10.140625" style="1181" bestFit="1" customWidth="1"/>
    <col min="6410" max="6410" width="12" style="1181" bestFit="1" customWidth="1"/>
    <col min="6411" max="6411" width="14.28515625" style="1181" bestFit="1" customWidth="1"/>
    <col min="6412" max="6412" width="13.5703125" style="1181" bestFit="1" customWidth="1"/>
    <col min="6413" max="6413" width="13.85546875" style="1181" bestFit="1" customWidth="1"/>
    <col min="6414" max="6656" width="9.140625" style="1181"/>
    <col min="6657" max="6657" width="4.42578125" style="1181" customWidth="1"/>
    <col min="6658" max="6658" width="46.85546875" style="1181" customWidth="1"/>
    <col min="6659" max="6659" width="11.28515625" style="1181" bestFit="1" customWidth="1"/>
    <col min="6660" max="6660" width="11.42578125" style="1181" bestFit="1" customWidth="1"/>
    <col min="6661" max="6661" width="11.85546875" style="1181" customWidth="1"/>
    <col min="6662" max="6662" width="10" style="1181" customWidth="1"/>
    <col min="6663" max="6663" width="11.140625" style="1181" customWidth="1"/>
    <col min="6664" max="6664" width="10.28515625" style="1181" bestFit="1" customWidth="1"/>
    <col min="6665" max="6665" width="10.140625" style="1181" bestFit="1" customWidth="1"/>
    <col min="6666" max="6666" width="12" style="1181" bestFit="1" customWidth="1"/>
    <col min="6667" max="6667" width="14.28515625" style="1181" bestFit="1" customWidth="1"/>
    <col min="6668" max="6668" width="13.5703125" style="1181" bestFit="1" customWidth="1"/>
    <col min="6669" max="6669" width="13.85546875" style="1181" bestFit="1" customWidth="1"/>
    <col min="6670" max="6912" width="9.140625" style="1181"/>
    <col min="6913" max="6913" width="4.42578125" style="1181" customWidth="1"/>
    <col min="6914" max="6914" width="46.85546875" style="1181" customWidth="1"/>
    <col min="6915" max="6915" width="11.28515625" style="1181" bestFit="1" customWidth="1"/>
    <col min="6916" max="6916" width="11.42578125" style="1181" bestFit="1" customWidth="1"/>
    <col min="6917" max="6917" width="11.85546875" style="1181" customWidth="1"/>
    <col min="6918" max="6918" width="10" style="1181" customWidth="1"/>
    <col min="6919" max="6919" width="11.140625" style="1181" customWidth="1"/>
    <col min="6920" max="6920" width="10.28515625" style="1181" bestFit="1" customWidth="1"/>
    <col min="6921" max="6921" width="10.140625" style="1181" bestFit="1" customWidth="1"/>
    <col min="6922" max="6922" width="12" style="1181" bestFit="1" customWidth="1"/>
    <col min="6923" max="6923" width="14.28515625" style="1181" bestFit="1" customWidth="1"/>
    <col min="6924" max="6924" width="13.5703125" style="1181" bestFit="1" customWidth="1"/>
    <col min="6925" max="6925" width="13.85546875" style="1181" bestFit="1" customWidth="1"/>
    <col min="6926" max="7168" width="9.140625" style="1181"/>
    <col min="7169" max="7169" width="4.42578125" style="1181" customWidth="1"/>
    <col min="7170" max="7170" width="46.85546875" style="1181" customWidth="1"/>
    <col min="7171" max="7171" width="11.28515625" style="1181" bestFit="1" customWidth="1"/>
    <col min="7172" max="7172" width="11.42578125" style="1181" bestFit="1" customWidth="1"/>
    <col min="7173" max="7173" width="11.85546875" style="1181" customWidth="1"/>
    <col min="7174" max="7174" width="10" style="1181" customWidth="1"/>
    <col min="7175" max="7175" width="11.140625" style="1181" customWidth="1"/>
    <col min="7176" max="7176" width="10.28515625" style="1181" bestFit="1" customWidth="1"/>
    <col min="7177" max="7177" width="10.140625" style="1181" bestFit="1" customWidth="1"/>
    <col min="7178" max="7178" width="12" style="1181" bestFit="1" customWidth="1"/>
    <col min="7179" max="7179" width="14.28515625" style="1181" bestFit="1" customWidth="1"/>
    <col min="7180" max="7180" width="13.5703125" style="1181" bestFit="1" customWidth="1"/>
    <col min="7181" max="7181" width="13.85546875" style="1181" bestFit="1" customWidth="1"/>
    <col min="7182" max="7424" width="9.140625" style="1181"/>
    <col min="7425" max="7425" width="4.42578125" style="1181" customWidth="1"/>
    <col min="7426" max="7426" width="46.85546875" style="1181" customWidth="1"/>
    <col min="7427" max="7427" width="11.28515625" style="1181" bestFit="1" customWidth="1"/>
    <col min="7428" max="7428" width="11.42578125" style="1181" bestFit="1" customWidth="1"/>
    <col min="7429" max="7429" width="11.85546875" style="1181" customWidth="1"/>
    <col min="7430" max="7430" width="10" style="1181" customWidth="1"/>
    <col min="7431" max="7431" width="11.140625" style="1181" customWidth="1"/>
    <col min="7432" max="7432" width="10.28515625" style="1181" bestFit="1" customWidth="1"/>
    <col min="7433" max="7433" width="10.140625" style="1181" bestFit="1" customWidth="1"/>
    <col min="7434" max="7434" width="12" style="1181" bestFit="1" customWidth="1"/>
    <col min="7435" max="7435" width="14.28515625" style="1181" bestFit="1" customWidth="1"/>
    <col min="7436" max="7436" width="13.5703125" style="1181" bestFit="1" customWidth="1"/>
    <col min="7437" max="7437" width="13.85546875" style="1181" bestFit="1" customWidth="1"/>
    <col min="7438" max="7680" width="9.140625" style="1181"/>
    <col min="7681" max="7681" width="4.42578125" style="1181" customWidth="1"/>
    <col min="7682" max="7682" width="46.85546875" style="1181" customWidth="1"/>
    <col min="7683" max="7683" width="11.28515625" style="1181" bestFit="1" customWidth="1"/>
    <col min="7684" max="7684" width="11.42578125" style="1181" bestFit="1" customWidth="1"/>
    <col min="7685" max="7685" width="11.85546875" style="1181" customWidth="1"/>
    <col min="7686" max="7686" width="10" style="1181" customWidth="1"/>
    <col min="7687" max="7687" width="11.140625" style="1181" customWidth="1"/>
    <col min="7688" max="7688" width="10.28515625" style="1181" bestFit="1" customWidth="1"/>
    <col min="7689" max="7689" width="10.140625" style="1181" bestFit="1" customWidth="1"/>
    <col min="7690" max="7690" width="12" style="1181" bestFit="1" customWidth="1"/>
    <col min="7691" max="7691" width="14.28515625" style="1181" bestFit="1" customWidth="1"/>
    <col min="7692" max="7692" width="13.5703125" style="1181" bestFit="1" customWidth="1"/>
    <col min="7693" max="7693" width="13.85546875" style="1181" bestFit="1" customWidth="1"/>
    <col min="7694" max="7936" width="9.140625" style="1181"/>
    <col min="7937" max="7937" width="4.42578125" style="1181" customWidth="1"/>
    <col min="7938" max="7938" width="46.85546875" style="1181" customWidth="1"/>
    <col min="7939" max="7939" width="11.28515625" style="1181" bestFit="1" customWidth="1"/>
    <col min="7940" max="7940" width="11.42578125" style="1181" bestFit="1" customWidth="1"/>
    <col min="7941" max="7941" width="11.85546875" style="1181" customWidth="1"/>
    <col min="7942" max="7942" width="10" style="1181" customWidth="1"/>
    <col min="7943" max="7943" width="11.140625" style="1181" customWidth="1"/>
    <col min="7944" max="7944" width="10.28515625" style="1181" bestFit="1" customWidth="1"/>
    <col min="7945" max="7945" width="10.140625" style="1181" bestFit="1" customWidth="1"/>
    <col min="7946" max="7946" width="12" style="1181" bestFit="1" customWidth="1"/>
    <col min="7947" max="7947" width="14.28515625" style="1181" bestFit="1" customWidth="1"/>
    <col min="7948" max="7948" width="13.5703125" style="1181" bestFit="1" customWidth="1"/>
    <col min="7949" max="7949" width="13.85546875" style="1181" bestFit="1" customWidth="1"/>
    <col min="7950" max="8192" width="9.140625" style="1181"/>
    <col min="8193" max="8193" width="4.42578125" style="1181" customWidth="1"/>
    <col min="8194" max="8194" width="46.85546875" style="1181" customWidth="1"/>
    <col min="8195" max="8195" width="11.28515625" style="1181" bestFit="1" customWidth="1"/>
    <col min="8196" max="8196" width="11.42578125" style="1181" bestFit="1" customWidth="1"/>
    <col min="8197" max="8197" width="11.85546875" style="1181" customWidth="1"/>
    <col min="8198" max="8198" width="10" style="1181" customWidth="1"/>
    <col min="8199" max="8199" width="11.140625" style="1181" customWidth="1"/>
    <col min="8200" max="8200" width="10.28515625" style="1181" bestFit="1" customWidth="1"/>
    <col min="8201" max="8201" width="10.140625" style="1181" bestFit="1" customWidth="1"/>
    <col min="8202" max="8202" width="12" style="1181" bestFit="1" customWidth="1"/>
    <col min="8203" max="8203" width="14.28515625" style="1181" bestFit="1" customWidth="1"/>
    <col min="8204" max="8204" width="13.5703125" style="1181" bestFit="1" customWidth="1"/>
    <col min="8205" max="8205" width="13.85546875" style="1181" bestFit="1" customWidth="1"/>
    <col min="8206" max="8448" width="9.140625" style="1181"/>
    <col min="8449" max="8449" width="4.42578125" style="1181" customWidth="1"/>
    <col min="8450" max="8450" width="46.85546875" style="1181" customWidth="1"/>
    <col min="8451" max="8451" width="11.28515625" style="1181" bestFit="1" customWidth="1"/>
    <col min="8452" max="8452" width="11.42578125" style="1181" bestFit="1" customWidth="1"/>
    <col min="8453" max="8453" width="11.85546875" style="1181" customWidth="1"/>
    <col min="8454" max="8454" width="10" style="1181" customWidth="1"/>
    <col min="8455" max="8455" width="11.140625" style="1181" customWidth="1"/>
    <col min="8456" max="8456" width="10.28515625" style="1181" bestFit="1" customWidth="1"/>
    <col min="8457" max="8457" width="10.140625" style="1181" bestFit="1" customWidth="1"/>
    <col min="8458" max="8458" width="12" style="1181" bestFit="1" customWidth="1"/>
    <col min="8459" max="8459" width="14.28515625" style="1181" bestFit="1" customWidth="1"/>
    <col min="8460" max="8460" width="13.5703125" style="1181" bestFit="1" customWidth="1"/>
    <col min="8461" max="8461" width="13.85546875" style="1181" bestFit="1" customWidth="1"/>
    <col min="8462" max="8704" width="9.140625" style="1181"/>
    <col min="8705" max="8705" width="4.42578125" style="1181" customWidth="1"/>
    <col min="8706" max="8706" width="46.85546875" style="1181" customWidth="1"/>
    <col min="8707" max="8707" width="11.28515625" style="1181" bestFit="1" customWidth="1"/>
    <col min="8708" max="8708" width="11.42578125" style="1181" bestFit="1" customWidth="1"/>
    <col min="8709" max="8709" width="11.85546875" style="1181" customWidth="1"/>
    <col min="8710" max="8710" width="10" style="1181" customWidth="1"/>
    <col min="8711" max="8711" width="11.140625" style="1181" customWidth="1"/>
    <col min="8712" max="8712" width="10.28515625" style="1181" bestFit="1" customWidth="1"/>
    <col min="8713" max="8713" width="10.140625" style="1181" bestFit="1" customWidth="1"/>
    <col min="8714" max="8714" width="12" style="1181" bestFit="1" customWidth="1"/>
    <col min="8715" max="8715" width="14.28515625" style="1181" bestFit="1" customWidth="1"/>
    <col min="8716" max="8716" width="13.5703125" style="1181" bestFit="1" customWidth="1"/>
    <col min="8717" max="8717" width="13.85546875" style="1181" bestFit="1" customWidth="1"/>
    <col min="8718" max="8960" width="9.140625" style="1181"/>
    <col min="8961" max="8961" width="4.42578125" style="1181" customWidth="1"/>
    <col min="8962" max="8962" width="46.85546875" style="1181" customWidth="1"/>
    <col min="8963" max="8963" width="11.28515625" style="1181" bestFit="1" customWidth="1"/>
    <col min="8964" max="8964" width="11.42578125" style="1181" bestFit="1" customWidth="1"/>
    <col min="8965" max="8965" width="11.85546875" style="1181" customWidth="1"/>
    <col min="8966" max="8966" width="10" style="1181" customWidth="1"/>
    <col min="8967" max="8967" width="11.140625" style="1181" customWidth="1"/>
    <col min="8968" max="8968" width="10.28515625" style="1181" bestFit="1" customWidth="1"/>
    <col min="8969" max="8969" width="10.140625" style="1181" bestFit="1" customWidth="1"/>
    <col min="8970" max="8970" width="12" style="1181" bestFit="1" customWidth="1"/>
    <col min="8971" max="8971" width="14.28515625" style="1181" bestFit="1" customWidth="1"/>
    <col min="8972" max="8972" width="13.5703125" style="1181" bestFit="1" customWidth="1"/>
    <col min="8973" max="8973" width="13.85546875" style="1181" bestFit="1" customWidth="1"/>
    <col min="8974" max="9216" width="9.140625" style="1181"/>
    <col min="9217" max="9217" width="4.42578125" style="1181" customWidth="1"/>
    <col min="9218" max="9218" width="46.85546875" style="1181" customWidth="1"/>
    <col min="9219" max="9219" width="11.28515625" style="1181" bestFit="1" customWidth="1"/>
    <col min="9220" max="9220" width="11.42578125" style="1181" bestFit="1" customWidth="1"/>
    <col min="9221" max="9221" width="11.85546875" style="1181" customWidth="1"/>
    <col min="9222" max="9222" width="10" style="1181" customWidth="1"/>
    <col min="9223" max="9223" width="11.140625" style="1181" customWidth="1"/>
    <col min="9224" max="9224" width="10.28515625" style="1181" bestFit="1" customWidth="1"/>
    <col min="9225" max="9225" width="10.140625" style="1181" bestFit="1" customWidth="1"/>
    <col min="9226" max="9226" width="12" style="1181" bestFit="1" customWidth="1"/>
    <col min="9227" max="9227" width="14.28515625" style="1181" bestFit="1" customWidth="1"/>
    <col min="9228" max="9228" width="13.5703125" style="1181" bestFit="1" customWidth="1"/>
    <col min="9229" max="9229" width="13.85546875" style="1181" bestFit="1" customWidth="1"/>
    <col min="9230" max="9472" width="9.140625" style="1181"/>
    <col min="9473" max="9473" width="4.42578125" style="1181" customWidth="1"/>
    <col min="9474" max="9474" width="46.85546875" style="1181" customWidth="1"/>
    <col min="9475" max="9475" width="11.28515625" style="1181" bestFit="1" customWidth="1"/>
    <col min="9476" max="9476" width="11.42578125" style="1181" bestFit="1" customWidth="1"/>
    <col min="9477" max="9477" width="11.85546875" style="1181" customWidth="1"/>
    <col min="9478" max="9478" width="10" style="1181" customWidth="1"/>
    <col min="9479" max="9479" width="11.140625" style="1181" customWidth="1"/>
    <col min="9480" max="9480" width="10.28515625" style="1181" bestFit="1" customWidth="1"/>
    <col min="9481" max="9481" width="10.140625" style="1181" bestFit="1" customWidth="1"/>
    <col min="9482" max="9482" width="12" style="1181" bestFit="1" customWidth="1"/>
    <col min="9483" max="9483" width="14.28515625" style="1181" bestFit="1" customWidth="1"/>
    <col min="9484" max="9484" width="13.5703125" style="1181" bestFit="1" customWidth="1"/>
    <col min="9485" max="9485" width="13.85546875" style="1181" bestFit="1" customWidth="1"/>
    <col min="9486" max="9728" width="9.140625" style="1181"/>
    <col min="9729" max="9729" width="4.42578125" style="1181" customWidth="1"/>
    <col min="9730" max="9730" width="46.85546875" style="1181" customWidth="1"/>
    <col min="9731" max="9731" width="11.28515625" style="1181" bestFit="1" customWidth="1"/>
    <col min="9732" max="9732" width="11.42578125" style="1181" bestFit="1" customWidth="1"/>
    <col min="9733" max="9733" width="11.85546875" style="1181" customWidth="1"/>
    <col min="9734" max="9734" width="10" style="1181" customWidth="1"/>
    <col min="9735" max="9735" width="11.140625" style="1181" customWidth="1"/>
    <col min="9736" max="9736" width="10.28515625" style="1181" bestFit="1" customWidth="1"/>
    <col min="9737" max="9737" width="10.140625" style="1181" bestFit="1" customWidth="1"/>
    <col min="9738" max="9738" width="12" style="1181" bestFit="1" customWidth="1"/>
    <col min="9739" max="9739" width="14.28515625" style="1181" bestFit="1" customWidth="1"/>
    <col min="9740" max="9740" width="13.5703125" style="1181" bestFit="1" customWidth="1"/>
    <col min="9741" max="9741" width="13.85546875" style="1181" bestFit="1" customWidth="1"/>
    <col min="9742" max="9984" width="9.140625" style="1181"/>
    <col min="9985" max="9985" width="4.42578125" style="1181" customWidth="1"/>
    <col min="9986" max="9986" width="46.85546875" style="1181" customWidth="1"/>
    <col min="9987" max="9987" width="11.28515625" style="1181" bestFit="1" customWidth="1"/>
    <col min="9988" max="9988" width="11.42578125" style="1181" bestFit="1" customWidth="1"/>
    <col min="9989" max="9989" width="11.85546875" style="1181" customWidth="1"/>
    <col min="9990" max="9990" width="10" style="1181" customWidth="1"/>
    <col min="9991" max="9991" width="11.140625" style="1181" customWidth="1"/>
    <col min="9992" max="9992" width="10.28515625" style="1181" bestFit="1" customWidth="1"/>
    <col min="9993" max="9993" width="10.140625" style="1181" bestFit="1" customWidth="1"/>
    <col min="9994" max="9994" width="12" style="1181" bestFit="1" customWidth="1"/>
    <col min="9995" max="9995" width="14.28515625" style="1181" bestFit="1" customWidth="1"/>
    <col min="9996" max="9996" width="13.5703125" style="1181" bestFit="1" customWidth="1"/>
    <col min="9997" max="9997" width="13.85546875" style="1181" bestFit="1" customWidth="1"/>
    <col min="9998" max="10240" width="9.140625" style="1181"/>
    <col min="10241" max="10241" width="4.42578125" style="1181" customWidth="1"/>
    <col min="10242" max="10242" width="46.85546875" style="1181" customWidth="1"/>
    <col min="10243" max="10243" width="11.28515625" style="1181" bestFit="1" customWidth="1"/>
    <col min="10244" max="10244" width="11.42578125" style="1181" bestFit="1" customWidth="1"/>
    <col min="10245" max="10245" width="11.85546875" style="1181" customWidth="1"/>
    <col min="10246" max="10246" width="10" style="1181" customWidth="1"/>
    <col min="10247" max="10247" width="11.140625" style="1181" customWidth="1"/>
    <col min="10248" max="10248" width="10.28515625" style="1181" bestFit="1" customWidth="1"/>
    <col min="10249" max="10249" width="10.140625" style="1181" bestFit="1" customWidth="1"/>
    <col min="10250" max="10250" width="12" style="1181" bestFit="1" customWidth="1"/>
    <col min="10251" max="10251" width="14.28515625" style="1181" bestFit="1" customWidth="1"/>
    <col min="10252" max="10252" width="13.5703125" style="1181" bestFit="1" customWidth="1"/>
    <col min="10253" max="10253" width="13.85546875" style="1181" bestFit="1" customWidth="1"/>
    <col min="10254" max="10496" width="9.140625" style="1181"/>
    <col min="10497" max="10497" width="4.42578125" style="1181" customWidth="1"/>
    <col min="10498" max="10498" width="46.85546875" style="1181" customWidth="1"/>
    <col min="10499" max="10499" width="11.28515625" style="1181" bestFit="1" customWidth="1"/>
    <col min="10500" max="10500" width="11.42578125" style="1181" bestFit="1" customWidth="1"/>
    <col min="10501" max="10501" width="11.85546875" style="1181" customWidth="1"/>
    <col min="10502" max="10502" width="10" style="1181" customWidth="1"/>
    <col min="10503" max="10503" width="11.140625" style="1181" customWidth="1"/>
    <col min="10504" max="10504" width="10.28515625" style="1181" bestFit="1" customWidth="1"/>
    <col min="10505" max="10505" width="10.140625" style="1181" bestFit="1" customWidth="1"/>
    <col min="10506" max="10506" width="12" style="1181" bestFit="1" customWidth="1"/>
    <col min="10507" max="10507" width="14.28515625" style="1181" bestFit="1" customWidth="1"/>
    <col min="10508" max="10508" width="13.5703125" style="1181" bestFit="1" customWidth="1"/>
    <col min="10509" max="10509" width="13.85546875" style="1181" bestFit="1" customWidth="1"/>
    <col min="10510" max="10752" width="9.140625" style="1181"/>
    <col min="10753" max="10753" width="4.42578125" style="1181" customWidth="1"/>
    <col min="10754" max="10754" width="46.85546875" style="1181" customWidth="1"/>
    <col min="10755" max="10755" width="11.28515625" style="1181" bestFit="1" customWidth="1"/>
    <col min="10756" max="10756" width="11.42578125" style="1181" bestFit="1" customWidth="1"/>
    <col min="10757" max="10757" width="11.85546875" style="1181" customWidth="1"/>
    <col min="10758" max="10758" width="10" style="1181" customWidth="1"/>
    <col min="10759" max="10759" width="11.140625" style="1181" customWidth="1"/>
    <col min="10760" max="10760" width="10.28515625" style="1181" bestFit="1" customWidth="1"/>
    <col min="10761" max="10761" width="10.140625" style="1181" bestFit="1" customWidth="1"/>
    <col min="10762" max="10762" width="12" style="1181" bestFit="1" customWidth="1"/>
    <col min="10763" max="10763" width="14.28515625" style="1181" bestFit="1" customWidth="1"/>
    <col min="10764" max="10764" width="13.5703125" style="1181" bestFit="1" customWidth="1"/>
    <col min="10765" max="10765" width="13.85546875" style="1181" bestFit="1" customWidth="1"/>
    <col min="10766" max="11008" width="9.140625" style="1181"/>
    <col min="11009" max="11009" width="4.42578125" style="1181" customWidth="1"/>
    <col min="11010" max="11010" width="46.85546875" style="1181" customWidth="1"/>
    <col min="11011" max="11011" width="11.28515625" style="1181" bestFit="1" customWidth="1"/>
    <col min="11012" max="11012" width="11.42578125" style="1181" bestFit="1" customWidth="1"/>
    <col min="11013" max="11013" width="11.85546875" style="1181" customWidth="1"/>
    <col min="11014" max="11014" width="10" style="1181" customWidth="1"/>
    <col min="11015" max="11015" width="11.140625" style="1181" customWidth="1"/>
    <col min="11016" max="11016" width="10.28515625" style="1181" bestFit="1" customWidth="1"/>
    <col min="11017" max="11017" width="10.140625" style="1181" bestFit="1" customWidth="1"/>
    <col min="11018" max="11018" width="12" style="1181" bestFit="1" customWidth="1"/>
    <col min="11019" max="11019" width="14.28515625" style="1181" bestFit="1" customWidth="1"/>
    <col min="11020" max="11020" width="13.5703125" style="1181" bestFit="1" customWidth="1"/>
    <col min="11021" max="11021" width="13.85546875" style="1181" bestFit="1" customWidth="1"/>
    <col min="11022" max="11264" width="9.140625" style="1181"/>
    <col min="11265" max="11265" width="4.42578125" style="1181" customWidth="1"/>
    <col min="11266" max="11266" width="46.85546875" style="1181" customWidth="1"/>
    <col min="11267" max="11267" width="11.28515625" style="1181" bestFit="1" customWidth="1"/>
    <col min="11268" max="11268" width="11.42578125" style="1181" bestFit="1" customWidth="1"/>
    <col min="11269" max="11269" width="11.85546875" style="1181" customWidth="1"/>
    <col min="11270" max="11270" width="10" style="1181" customWidth="1"/>
    <col min="11271" max="11271" width="11.140625" style="1181" customWidth="1"/>
    <col min="11272" max="11272" width="10.28515625" style="1181" bestFit="1" customWidth="1"/>
    <col min="11273" max="11273" width="10.140625" style="1181" bestFit="1" customWidth="1"/>
    <col min="11274" max="11274" width="12" style="1181" bestFit="1" customWidth="1"/>
    <col min="11275" max="11275" width="14.28515625" style="1181" bestFit="1" customWidth="1"/>
    <col min="11276" max="11276" width="13.5703125" style="1181" bestFit="1" customWidth="1"/>
    <col min="11277" max="11277" width="13.85546875" style="1181" bestFit="1" customWidth="1"/>
    <col min="11278" max="11520" width="9.140625" style="1181"/>
    <col min="11521" max="11521" width="4.42578125" style="1181" customWidth="1"/>
    <col min="11522" max="11522" width="46.85546875" style="1181" customWidth="1"/>
    <col min="11523" max="11523" width="11.28515625" style="1181" bestFit="1" customWidth="1"/>
    <col min="11524" max="11524" width="11.42578125" style="1181" bestFit="1" customWidth="1"/>
    <col min="11525" max="11525" width="11.85546875" style="1181" customWidth="1"/>
    <col min="11526" max="11526" width="10" style="1181" customWidth="1"/>
    <col min="11527" max="11527" width="11.140625" style="1181" customWidth="1"/>
    <col min="11528" max="11528" width="10.28515625" style="1181" bestFit="1" customWidth="1"/>
    <col min="11529" max="11529" width="10.140625" style="1181" bestFit="1" customWidth="1"/>
    <col min="11530" max="11530" width="12" style="1181" bestFit="1" customWidth="1"/>
    <col min="11531" max="11531" width="14.28515625" style="1181" bestFit="1" customWidth="1"/>
    <col min="11532" max="11532" width="13.5703125" style="1181" bestFit="1" customWidth="1"/>
    <col min="11533" max="11533" width="13.85546875" style="1181" bestFit="1" customWidth="1"/>
    <col min="11534" max="11776" width="9.140625" style="1181"/>
    <col min="11777" max="11777" width="4.42578125" style="1181" customWidth="1"/>
    <col min="11778" max="11778" width="46.85546875" style="1181" customWidth="1"/>
    <col min="11779" max="11779" width="11.28515625" style="1181" bestFit="1" customWidth="1"/>
    <col min="11780" max="11780" width="11.42578125" style="1181" bestFit="1" customWidth="1"/>
    <col min="11781" max="11781" width="11.85546875" style="1181" customWidth="1"/>
    <col min="11782" max="11782" width="10" style="1181" customWidth="1"/>
    <col min="11783" max="11783" width="11.140625" style="1181" customWidth="1"/>
    <col min="11784" max="11784" width="10.28515625" style="1181" bestFit="1" customWidth="1"/>
    <col min="11785" max="11785" width="10.140625" style="1181" bestFit="1" customWidth="1"/>
    <col min="11786" max="11786" width="12" style="1181" bestFit="1" customWidth="1"/>
    <col min="11787" max="11787" width="14.28515625" style="1181" bestFit="1" customWidth="1"/>
    <col min="11788" max="11788" width="13.5703125" style="1181" bestFit="1" customWidth="1"/>
    <col min="11789" max="11789" width="13.85546875" style="1181" bestFit="1" customWidth="1"/>
    <col min="11790" max="12032" width="9.140625" style="1181"/>
    <col min="12033" max="12033" width="4.42578125" style="1181" customWidth="1"/>
    <col min="12034" max="12034" width="46.85546875" style="1181" customWidth="1"/>
    <col min="12035" max="12035" width="11.28515625" style="1181" bestFit="1" customWidth="1"/>
    <col min="12036" max="12036" width="11.42578125" style="1181" bestFit="1" customWidth="1"/>
    <col min="12037" max="12037" width="11.85546875" style="1181" customWidth="1"/>
    <col min="12038" max="12038" width="10" style="1181" customWidth="1"/>
    <col min="12039" max="12039" width="11.140625" style="1181" customWidth="1"/>
    <col min="12040" max="12040" width="10.28515625" style="1181" bestFit="1" customWidth="1"/>
    <col min="12041" max="12041" width="10.140625" style="1181" bestFit="1" customWidth="1"/>
    <col min="12042" max="12042" width="12" style="1181" bestFit="1" customWidth="1"/>
    <col min="12043" max="12043" width="14.28515625" style="1181" bestFit="1" customWidth="1"/>
    <col min="12044" max="12044" width="13.5703125" style="1181" bestFit="1" customWidth="1"/>
    <col min="12045" max="12045" width="13.85546875" style="1181" bestFit="1" customWidth="1"/>
    <col min="12046" max="12288" width="9.140625" style="1181"/>
    <col min="12289" max="12289" width="4.42578125" style="1181" customWidth="1"/>
    <col min="12290" max="12290" width="46.85546875" style="1181" customWidth="1"/>
    <col min="12291" max="12291" width="11.28515625" style="1181" bestFit="1" customWidth="1"/>
    <col min="12292" max="12292" width="11.42578125" style="1181" bestFit="1" customWidth="1"/>
    <col min="12293" max="12293" width="11.85546875" style="1181" customWidth="1"/>
    <col min="12294" max="12294" width="10" style="1181" customWidth="1"/>
    <col min="12295" max="12295" width="11.140625" style="1181" customWidth="1"/>
    <col min="12296" max="12296" width="10.28515625" style="1181" bestFit="1" customWidth="1"/>
    <col min="12297" max="12297" width="10.140625" style="1181" bestFit="1" customWidth="1"/>
    <col min="12298" max="12298" width="12" style="1181" bestFit="1" customWidth="1"/>
    <col min="12299" max="12299" width="14.28515625" style="1181" bestFit="1" customWidth="1"/>
    <col min="12300" max="12300" width="13.5703125" style="1181" bestFit="1" customWidth="1"/>
    <col min="12301" max="12301" width="13.85546875" style="1181" bestFit="1" customWidth="1"/>
    <col min="12302" max="12544" width="9.140625" style="1181"/>
    <col min="12545" max="12545" width="4.42578125" style="1181" customWidth="1"/>
    <col min="12546" max="12546" width="46.85546875" style="1181" customWidth="1"/>
    <col min="12547" max="12547" width="11.28515625" style="1181" bestFit="1" customWidth="1"/>
    <col min="12548" max="12548" width="11.42578125" style="1181" bestFit="1" customWidth="1"/>
    <col min="12549" max="12549" width="11.85546875" style="1181" customWidth="1"/>
    <col min="12550" max="12550" width="10" style="1181" customWidth="1"/>
    <col min="12551" max="12551" width="11.140625" style="1181" customWidth="1"/>
    <col min="12552" max="12552" width="10.28515625" style="1181" bestFit="1" customWidth="1"/>
    <col min="12553" max="12553" width="10.140625" style="1181" bestFit="1" customWidth="1"/>
    <col min="12554" max="12554" width="12" style="1181" bestFit="1" customWidth="1"/>
    <col min="12555" max="12555" width="14.28515625" style="1181" bestFit="1" customWidth="1"/>
    <col min="12556" max="12556" width="13.5703125" style="1181" bestFit="1" customWidth="1"/>
    <col min="12557" max="12557" width="13.85546875" style="1181" bestFit="1" customWidth="1"/>
    <col min="12558" max="12800" width="9.140625" style="1181"/>
    <col min="12801" max="12801" width="4.42578125" style="1181" customWidth="1"/>
    <col min="12802" max="12802" width="46.85546875" style="1181" customWidth="1"/>
    <col min="12803" max="12803" width="11.28515625" style="1181" bestFit="1" customWidth="1"/>
    <col min="12804" max="12804" width="11.42578125" style="1181" bestFit="1" customWidth="1"/>
    <col min="12805" max="12805" width="11.85546875" style="1181" customWidth="1"/>
    <col min="12806" max="12806" width="10" style="1181" customWidth="1"/>
    <col min="12807" max="12807" width="11.140625" style="1181" customWidth="1"/>
    <col min="12808" max="12808" width="10.28515625" style="1181" bestFit="1" customWidth="1"/>
    <col min="12809" max="12809" width="10.140625" style="1181" bestFit="1" customWidth="1"/>
    <col min="12810" max="12810" width="12" style="1181" bestFit="1" customWidth="1"/>
    <col min="12811" max="12811" width="14.28515625" style="1181" bestFit="1" customWidth="1"/>
    <col min="12812" max="12812" width="13.5703125" style="1181" bestFit="1" customWidth="1"/>
    <col min="12813" max="12813" width="13.85546875" style="1181" bestFit="1" customWidth="1"/>
    <col min="12814" max="13056" width="9.140625" style="1181"/>
    <col min="13057" max="13057" width="4.42578125" style="1181" customWidth="1"/>
    <col min="13058" max="13058" width="46.85546875" style="1181" customWidth="1"/>
    <col min="13059" max="13059" width="11.28515625" style="1181" bestFit="1" customWidth="1"/>
    <col min="13060" max="13060" width="11.42578125" style="1181" bestFit="1" customWidth="1"/>
    <col min="13061" max="13061" width="11.85546875" style="1181" customWidth="1"/>
    <col min="13062" max="13062" width="10" style="1181" customWidth="1"/>
    <col min="13063" max="13063" width="11.140625" style="1181" customWidth="1"/>
    <col min="13064" max="13064" width="10.28515625" style="1181" bestFit="1" customWidth="1"/>
    <col min="13065" max="13065" width="10.140625" style="1181" bestFit="1" customWidth="1"/>
    <col min="13066" max="13066" width="12" style="1181" bestFit="1" customWidth="1"/>
    <col min="13067" max="13067" width="14.28515625" style="1181" bestFit="1" customWidth="1"/>
    <col min="13068" max="13068" width="13.5703125" style="1181" bestFit="1" customWidth="1"/>
    <col min="13069" max="13069" width="13.85546875" style="1181" bestFit="1" customWidth="1"/>
    <col min="13070" max="13312" width="9.140625" style="1181"/>
    <col min="13313" max="13313" width="4.42578125" style="1181" customWidth="1"/>
    <col min="13314" max="13314" width="46.85546875" style="1181" customWidth="1"/>
    <col min="13315" max="13315" width="11.28515625" style="1181" bestFit="1" customWidth="1"/>
    <col min="13316" max="13316" width="11.42578125" style="1181" bestFit="1" customWidth="1"/>
    <col min="13317" max="13317" width="11.85546875" style="1181" customWidth="1"/>
    <col min="13318" max="13318" width="10" style="1181" customWidth="1"/>
    <col min="13319" max="13319" width="11.140625" style="1181" customWidth="1"/>
    <col min="13320" max="13320" width="10.28515625" style="1181" bestFit="1" customWidth="1"/>
    <col min="13321" max="13321" width="10.140625" style="1181" bestFit="1" customWidth="1"/>
    <col min="13322" max="13322" width="12" style="1181" bestFit="1" customWidth="1"/>
    <col min="13323" max="13323" width="14.28515625" style="1181" bestFit="1" customWidth="1"/>
    <col min="13324" max="13324" width="13.5703125" style="1181" bestFit="1" customWidth="1"/>
    <col min="13325" max="13325" width="13.85546875" style="1181" bestFit="1" customWidth="1"/>
    <col min="13326" max="13568" width="9.140625" style="1181"/>
    <col min="13569" max="13569" width="4.42578125" style="1181" customWidth="1"/>
    <col min="13570" max="13570" width="46.85546875" style="1181" customWidth="1"/>
    <col min="13571" max="13571" width="11.28515625" style="1181" bestFit="1" customWidth="1"/>
    <col min="13572" max="13572" width="11.42578125" style="1181" bestFit="1" customWidth="1"/>
    <col min="13573" max="13573" width="11.85546875" style="1181" customWidth="1"/>
    <col min="13574" max="13574" width="10" style="1181" customWidth="1"/>
    <col min="13575" max="13575" width="11.140625" style="1181" customWidth="1"/>
    <col min="13576" max="13576" width="10.28515625" style="1181" bestFit="1" customWidth="1"/>
    <col min="13577" max="13577" width="10.140625" style="1181" bestFit="1" customWidth="1"/>
    <col min="13578" max="13578" width="12" style="1181" bestFit="1" customWidth="1"/>
    <col min="13579" max="13579" width="14.28515625" style="1181" bestFit="1" customWidth="1"/>
    <col min="13580" max="13580" width="13.5703125" style="1181" bestFit="1" customWidth="1"/>
    <col min="13581" max="13581" width="13.85546875" style="1181" bestFit="1" customWidth="1"/>
    <col min="13582" max="13824" width="9.140625" style="1181"/>
    <col min="13825" max="13825" width="4.42578125" style="1181" customWidth="1"/>
    <col min="13826" max="13826" width="46.85546875" style="1181" customWidth="1"/>
    <col min="13827" max="13827" width="11.28515625" style="1181" bestFit="1" customWidth="1"/>
    <col min="13828" max="13828" width="11.42578125" style="1181" bestFit="1" customWidth="1"/>
    <col min="13829" max="13829" width="11.85546875" style="1181" customWidth="1"/>
    <col min="13830" max="13830" width="10" style="1181" customWidth="1"/>
    <col min="13831" max="13831" width="11.140625" style="1181" customWidth="1"/>
    <col min="13832" max="13832" width="10.28515625" style="1181" bestFit="1" customWidth="1"/>
    <col min="13833" max="13833" width="10.140625" style="1181" bestFit="1" customWidth="1"/>
    <col min="13834" max="13834" width="12" style="1181" bestFit="1" customWidth="1"/>
    <col min="13835" max="13835" width="14.28515625" style="1181" bestFit="1" customWidth="1"/>
    <col min="13836" max="13836" width="13.5703125" style="1181" bestFit="1" customWidth="1"/>
    <col min="13837" max="13837" width="13.85546875" style="1181" bestFit="1" customWidth="1"/>
    <col min="13838" max="14080" width="9.140625" style="1181"/>
    <col min="14081" max="14081" width="4.42578125" style="1181" customWidth="1"/>
    <col min="14082" max="14082" width="46.85546875" style="1181" customWidth="1"/>
    <col min="14083" max="14083" width="11.28515625" style="1181" bestFit="1" customWidth="1"/>
    <col min="14084" max="14084" width="11.42578125" style="1181" bestFit="1" customWidth="1"/>
    <col min="14085" max="14085" width="11.85546875" style="1181" customWidth="1"/>
    <col min="14086" max="14086" width="10" style="1181" customWidth="1"/>
    <col min="14087" max="14087" width="11.140625" style="1181" customWidth="1"/>
    <col min="14088" max="14088" width="10.28515625" style="1181" bestFit="1" customWidth="1"/>
    <col min="14089" max="14089" width="10.140625" style="1181" bestFit="1" customWidth="1"/>
    <col min="14090" max="14090" width="12" style="1181" bestFit="1" customWidth="1"/>
    <col min="14091" max="14091" width="14.28515625" style="1181" bestFit="1" customWidth="1"/>
    <col min="14092" max="14092" width="13.5703125" style="1181" bestFit="1" customWidth="1"/>
    <col min="14093" max="14093" width="13.85546875" style="1181" bestFit="1" customWidth="1"/>
    <col min="14094" max="14336" width="9.140625" style="1181"/>
    <col min="14337" max="14337" width="4.42578125" style="1181" customWidth="1"/>
    <col min="14338" max="14338" width="46.85546875" style="1181" customWidth="1"/>
    <col min="14339" max="14339" width="11.28515625" style="1181" bestFit="1" customWidth="1"/>
    <col min="14340" max="14340" width="11.42578125" style="1181" bestFit="1" customWidth="1"/>
    <col min="14341" max="14341" width="11.85546875" style="1181" customWidth="1"/>
    <col min="14342" max="14342" width="10" style="1181" customWidth="1"/>
    <col min="14343" max="14343" width="11.140625" style="1181" customWidth="1"/>
    <col min="14344" max="14344" width="10.28515625" style="1181" bestFit="1" customWidth="1"/>
    <col min="14345" max="14345" width="10.140625" style="1181" bestFit="1" customWidth="1"/>
    <col min="14346" max="14346" width="12" style="1181" bestFit="1" customWidth="1"/>
    <col min="14347" max="14347" width="14.28515625" style="1181" bestFit="1" customWidth="1"/>
    <col min="14348" max="14348" width="13.5703125" style="1181" bestFit="1" customWidth="1"/>
    <col min="14349" max="14349" width="13.85546875" style="1181" bestFit="1" customWidth="1"/>
    <col min="14350" max="14592" width="9.140625" style="1181"/>
    <col min="14593" max="14593" width="4.42578125" style="1181" customWidth="1"/>
    <col min="14594" max="14594" width="46.85546875" style="1181" customWidth="1"/>
    <col min="14595" max="14595" width="11.28515625" style="1181" bestFit="1" customWidth="1"/>
    <col min="14596" max="14596" width="11.42578125" style="1181" bestFit="1" customWidth="1"/>
    <col min="14597" max="14597" width="11.85546875" style="1181" customWidth="1"/>
    <col min="14598" max="14598" width="10" style="1181" customWidth="1"/>
    <col min="14599" max="14599" width="11.140625" style="1181" customWidth="1"/>
    <col min="14600" max="14600" width="10.28515625" style="1181" bestFit="1" customWidth="1"/>
    <col min="14601" max="14601" width="10.140625" style="1181" bestFit="1" customWidth="1"/>
    <col min="14602" max="14602" width="12" style="1181" bestFit="1" customWidth="1"/>
    <col min="14603" max="14603" width="14.28515625" style="1181" bestFit="1" customWidth="1"/>
    <col min="14604" max="14604" width="13.5703125" style="1181" bestFit="1" customWidth="1"/>
    <col min="14605" max="14605" width="13.85546875" style="1181" bestFit="1" customWidth="1"/>
    <col min="14606" max="14848" width="9.140625" style="1181"/>
    <col min="14849" max="14849" width="4.42578125" style="1181" customWidth="1"/>
    <col min="14850" max="14850" width="46.85546875" style="1181" customWidth="1"/>
    <col min="14851" max="14851" width="11.28515625" style="1181" bestFit="1" customWidth="1"/>
    <col min="14852" max="14852" width="11.42578125" style="1181" bestFit="1" customWidth="1"/>
    <col min="14853" max="14853" width="11.85546875" style="1181" customWidth="1"/>
    <col min="14854" max="14854" width="10" style="1181" customWidth="1"/>
    <col min="14855" max="14855" width="11.140625" style="1181" customWidth="1"/>
    <col min="14856" max="14856" width="10.28515625" style="1181" bestFit="1" customWidth="1"/>
    <col min="14857" max="14857" width="10.140625" style="1181" bestFit="1" customWidth="1"/>
    <col min="14858" max="14858" width="12" style="1181" bestFit="1" customWidth="1"/>
    <col min="14859" max="14859" width="14.28515625" style="1181" bestFit="1" customWidth="1"/>
    <col min="14860" max="14860" width="13.5703125" style="1181" bestFit="1" customWidth="1"/>
    <col min="14861" max="14861" width="13.85546875" style="1181" bestFit="1" customWidth="1"/>
    <col min="14862" max="15104" width="9.140625" style="1181"/>
    <col min="15105" max="15105" width="4.42578125" style="1181" customWidth="1"/>
    <col min="15106" max="15106" width="46.85546875" style="1181" customWidth="1"/>
    <col min="15107" max="15107" width="11.28515625" style="1181" bestFit="1" customWidth="1"/>
    <col min="15108" max="15108" width="11.42578125" style="1181" bestFit="1" customWidth="1"/>
    <col min="15109" max="15109" width="11.85546875" style="1181" customWidth="1"/>
    <col min="15110" max="15110" width="10" style="1181" customWidth="1"/>
    <col min="15111" max="15111" width="11.140625" style="1181" customWidth="1"/>
    <col min="15112" max="15112" width="10.28515625" style="1181" bestFit="1" customWidth="1"/>
    <col min="15113" max="15113" width="10.140625" style="1181" bestFit="1" customWidth="1"/>
    <col min="15114" max="15114" width="12" style="1181" bestFit="1" customWidth="1"/>
    <col min="15115" max="15115" width="14.28515625" style="1181" bestFit="1" customWidth="1"/>
    <col min="15116" max="15116" width="13.5703125" style="1181" bestFit="1" customWidth="1"/>
    <col min="15117" max="15117" width="13.85546875" style="1181" bestFit="1" customWidth="1"/>
    <col min="15118" max="15360" width="9.140625" style="1181"/>
    <col min="15361" max="15361" width="4.42578125" style="1181" customWidth="1"/>
    <col min="15362" max="15362" width="46.85546875" style="1181" customWidth="1"/>
    <col min="15363" max="15363" width="11.28515625" style="1181" bestFit="1" customWidth="1"/>
    <col min="15364" max="15364" width="11.42578125" style="1181" bestFit="1" customWidth="1"/>
    <col min="15365" max="15365" width="11.85546875" style="1181" customWidth="1"/>
    <col min="15366" max="15366" width="10" style="1181" customWidth="1"/>
    <col min="15367" max="15367" width="11.140625" style="1181" customWidth="1"/>
    <col min="15368" max="15368" width="10.28515625" style="1181" bestFit="1" customWidth="1"/>
    <col min="15369" max="15369" width="10.140625" style="1181" bestFit="1" customWidth="1"/>
    <col min="15370" max="15370" width="12" style="1181" bestFit="1" customWidth="1"/>
    <col min="15371" max="15371" width="14.28515625" style="1181" bestFit="1" customWidth="1"/>
    <col min="15372" max="15372" width="13.5703125" style="1181" bestFit="1" customWidth="1"/>
    <col min="15373" max="15373" width="13.85546875" style="1181" bestFit="1" customWidth="1"/>
    <col min="15374" max="15616" width="9.140625" style="1181"/>
    <col min="15617" max="15617" width="4.42578125" style="1181" customWidth="1"/>
    <col min="15618" max="15618" width="46.85546875" style="1181" customWidth="1"/>
    <col min="15619" max="15619" width="11.28515625" style="1181" bestFit="1" customWidth="1"/>
    <col min="15620" max="15620" width="11.42578125" style="1181" bestFit="1" customWidth="1"/>
    <col min="15621" max="15621" width="11.85546875" style="1181" customWidth="1"/>
    <col min="15622" max="15622" width="10" style="1181" customWidth="1"/>
    <col min="15623" max="15623" width="11.140625" style="1181" customWidth="1"/>
    <col min="15624" max="15624" width="10.28515625" style="1181" bestFit="1" customWidth="1"/>
    <col min="15625" max="15625" width="10.140625" style="1181" bestFit="1" customWidth="1"/>
    <col min="15626" max="15626" width="12" style="1181" bestFit="1" customWidth="1"/>
    <col min="15627" max="15627" width="14.28515625" style="1181" bestFit="1" customWidth="1"/>
    <col min="15628" max="15628" width="13.5703125" style="1181" bestFit="1" customWidth="1"/>
    <col min="15629" max="15629" width="13.85546875" style="1181" bestFit="1" customWidth="1"/>
    <col min="15630" max="15872" width="9.140625" style="1181"/>
    <col min="15873" max="15873" width="4.42578125" style="1181" customWidth="1"/>
    <col min="15874" max="15874" width="46.85546875" style="1181" customWidth="1"/>
    <col min="15875" max="15875" width="11.28515625" style="1181" bestFit="1" customWidth="1"/>
    <col min="15876" max="15876" width="11.42578125" style="1181" bestFit="1" customWidth="1"/>
    <col min="15877" max="15877" width="11.85546875" style="1181" customWidth="1"/>
    <col min="15878" max="15878" width="10" style="1181" customWidth="1"/>
    <col min="15879" max="15879" width="11.140625" style="1181" customWidth="1"/>
    <col min="15880" max="15880" width="10.28515625" style="1181" bestFit="1" customWidth="1"/>
    <col min="15881" max="15881" width="10.140625" style="1181" bestFit="1" customWidth="1"/>
    <col min="15882" max="15882" width="12" style="1181" bestFit="1" customWidth="1"/>
    <col min="15883" max="15883" width="14.28515625" style="1181" bestFit="1" customWidth="1"/>
    <col min="15884" max="15884" width="13.5703125" style="1181" bestFit="1" customWidth="1"/>
    <col min="15885" max="15885" width="13.85546875" style="1181" bestFit="1" customWidth="1"/>
    <col min="15886" max="16128" width="9.140625" style="1181"/>
    <col min="16129" max="16129" width="4.42578125" style="1181" customWidth="1"/>
    <col min="16130" max="16130" width="46.85546875" style="1181" customWidth="1"/>
    <col min="16131" max="16131" width="11.28515625" style="1181" bestFit="1" customWidth="1"/>
    <col min="16132" max="16132" width="11.42578125" style="1181" bestFit="1" customWidth="1"/>
    <col min="16133" max="16133" width="11.85546875" style="1181" customWidth="1"/>
    <col min="16134" max="16134" width="10" style="1181" customWidth="1"/>
    <col min="16135" max="16135" width="11.140625" style="1181" customWidth="1"/>
    <col min="16136" max="16136" width="10.28515625" style="1181" bestFit="1" customWidth="1"/>
    <col min="16137" max="16137" width="10.140625" style="1181" bestFit="1" customWidth="1"/>
    <col min="16138" max="16138" width="12" style="1181" bestFit="1" customWidth="1"/>
    <col min="16139" max="16139" width="14.28515625" style="1181" bestFit="1" customWidth="1"/>
    <col min="16140" max="16140" width="13.5703125" style="1181" bestFit="1" customWidth="1"/>
    <col min="16141" max="16141" width="13.85546875" style="1181" bestFit="1" customWidth="1"/>
    <col min="16142" max="16384" width="9.140625" style="1181"/>
  </cols>
  <sheetData>
    <row r="1" spans="1:13" s="1340" customFormat="1" ht="15">
      <c r="H1" s="1341"/>
      <c r="I1" s="1342"/>
      <c r="K1" s="1341"/>
    </row>
    <row r="2" spans="1:13" ht="51" customHeight="1">
      <c r="A2" s="1901" t="s">
        <v>157</v>
      </c>
      <c r="B2" s="1901" t="s">
        <v>905</v>
      </c>
      <c r="C2" s="1901" t="s">
        <v>1121</v>
      </c>
      <c r="D2" s="1903" t="s">
        <v>1122</v>
      </c>
      <c r="E2" s="1894" t="s">
        <v>1123</v>
      </c>
      <c r="F2" s="1894" t="s">
        <v>1124</v>
      </c>
      <c r="G2" s="1894" t="s">
        <v>1125</v>
      </c>
      <c r="H2" s="1895" t="s">
        <v>1126</v>
      </c>
      <c r="I2" s="1897" t="s">
        <v>1127</v>
      </c>
      <c r="J2" s="1899" t="s">
        <v>1128</v>
      </c>
      <c r="K2" s="1890" t="s">
        <v>1129</v>
      </c>
      <c r="L2" s="1890" t="s">
        <v>909</v>
      </c>
      <c r="M2" s="1890" t="s">
        <v>1130</v>
      </c>
    </row>
    <row r="3" spans="1:13" ht="130.5" customHeight="1">
      <c r="A3" s="1902"/>
      <c r="B3" s="1901"/>
      <c r="C3" s="1901"/>
      <c r="D3" s="1904"/>
      <c r="E3" s="1894"/>
      <c r="F3" s="1894"/>
      <c r="G3" s="1894"/>
      <c r="H3" s="1896"/>
      <c r="I3" s="1898"/>
      <c r="J3" s="1900"/>
      <c r="K3" s="1891"/>
      <c r="L3" s="1891"/>
      <c r="M3" s="1891"/>
    </row>
    <row r="4" spans="1:13" ht="15">
      <c r="A4" s="1343"/>
      <c r="B4" s="1344"/>
      <c r="C4" s="1344">
        <v>1</v>
      </c>
      <c r="D4" s="1344">
        <f t="shared" ref="D4:M4" si="0">C4+1</f>
        <v>2</v>
      </c>
      <c r="E4" s="1344">
        <f t="shared" si="0"/>
        <v>3</v>
      </c>
      <c r="F4" s="1344">
        <f t="shared" si="0"/>
        <v>4</v>
      </c>
      <c r="G4" s="1344">
        <f t="shared" si="0"/>
        <v>5</v>
      </c>
      <c r="H4" s="1344">
        <f t="shared" si="0"/>
        <v>6</v>
      </c>
      <c r="I4" s="1344">
        <f t="shared" si="0"/>
        <v>7</v>
      </c>
      <c r="J4" s="1344">
        <f t="shared" si="0"/>
        <v>8</v>
      </c>
      <c r="K4" s="1344">
        <f t="shared" si="0"/>
        <v>9</v>
      </c>
      <c r="L4" s="1344">
        <f t="shared" si="0"/>
        <v>10</v>
      </c>
      <c r="M4" s="1344">
        <f t="shared" si="0"/>
        <v>11</v>
      </c>
    </row>
    <row r="5" spans="1:13" s="1350" customFormat="1" ht="31.5" customHeight="1">
      <c r="A5" s="1343"/>
      <c r="B5" s="1344"/>
      <c r="C5" s="1345" t="s">
        <v>1131</v>
      </c>
      <c r="D5" s="1346" t="s">
        <v>1132</v>
      </c>
      <c r="E5" s="1346" t="s">
        <v>1133</v>
      </c>
      <c r="F5" s="1345" t="s">
        <v>1134</v>
      </c>
      <c r="G5" s="1345" t="s">
        <v>1135</v>
      </c>
      <c r="H5" s="1347" t="s">
        <v>1136</v>
      </c>
      <c r="I5" s="1348" t="s">
        <v>1137</v>
      </c>
      <c r="J5" s="1347" t="s">
        <v>1138</v>
      </c>
      <c r="K5" s="1349" t="s">
        <v>1139</v>
      </c>
      <c r="L5" s="1345" t="s">
        <v>1140</v>
      </c>
      <c r="M5" s="1345" t="s">
        <v>1141</v>
      </c>
    </row>
    <row r="6" spans="1:13" ht="14.25">
      <c r="A6" s="1186">
        <v>1</v>
      </c>
      <c r="B6" s="1186" t="s">
        <v>911</v>
      </c>
      <c r="C6" s="1351">
        <f>'Table 3 Levels 1&amp;2'!C8</f>
        <v>9154</v>
      </c>
      <c r="D6" s="1351">
        <f>'[13]1_MFP &amp; Funded Membership'!$U9</f>
        <v>9391</v>
      </c>
      <c r="E6" s="1352">
        <f>D6-C6</f>
        <v>237</v>
      </c>
      <c r="F6" s="1352">
        <f>IF(E6&gt;0,E6,0)</f>
        <v>237</v>
      </c>
      <c r="G6" s="1352">
        <f>IF(E6&lt;0,E6,0)</f>
        <v>0</v>
      </c>
      <c r="H6" s="1353">
        <f>'Table 3 Levels 1&amp;2'!AL8</f>
        <v>4677</v>
      </c>
      <c r="I6" s="1353">
        <f>'Table 4 Level 3'!P6</f>
        <v>777.48</v>
      </c>
      <c r="J6" s="1353">
        <f>I6+H6</f>
        <v>5454.48</v>
      </c>
      <c r="K6" s="1354">
        <f>E6*J6</f>
        <v>1292711.76</v>
      </c>
      <c r="L6" s="1353">
        <f>IF(K6&gt;0,K6,0)</f>
        <v>1292711.76</v>
      </c>
      <c r="M6" s="1353">
        <f>IF(K6&lt;0,K6,0)</f>
        <v>0</v>
      </c>
    </row>
    <row r="7" spans="1:13" ht="14.25">
      <c r="A7" s="1186">
        <v>2</v>
      </c>
      <c r="B7" s="1186" t="s">
        <v>912</v>
      </c>
      <c r="C7" s="1351">
        <f>'Table 3 Levels 1&amp;2'!C9</f>
        <v>4039</v>
      </c>
      <c r="D7" s="1351">
        <f>'[13]1_MFP &amp; Funded Membership'!$U10</f>
        <v>4054</v>
      </c>
      <c r="E7" s="1352">
        <f t="shared" ref="E7:E70" si="1">D7-C7</f>
        <v>15</v>
      </c>
      <c r="F7" s="1352">
        <f t="shared" ref="F7:F70" si="2">IF(E7&gt;0,E7,0)</f>
        <v>15</v>
      </c>
      <c r="G7" s="1352">
        <f t="shared" ref="G7:G70" si="3">IF(E7&lt;0,E7,0)</f>
        <v>0</v>
      </c>
      <c r="H7" s="1353">
        <f>'Table 3 Levels 1&amp;2'!AL9</f>
        <v>6049.7400997890572</v>
      </c>
      <c r="I7" s="1353">
        <f>'Table 4 Level 3'!P7</f>
        <v>842.32</v>
      </c>
      <c r="J7" s="1353">
        <f t="shared" ref="J7:J70" si="4">I7+H7</f>
        <v>6892.0600997890569</v>
      </c>
      <c r="K7" s="1354">
        <f t="shared" ref="K7:K70" si="5">E7*J7</f>
        <v>103380.90149683585</v>
      </c>
      <c r="L7" s="1353">
        <f t="shared" ref="L7:L70" si="6">IF(K7&gt;0,K7,0)</f>
        <v>103380.90149683585</v>
      </c>
      <c r="M7" s="1353">
        <f t="shared" ref="M7:M70" si="7">IF(K7&lt;0,K7,0)</f>
        <v>0</v>
      </c>
    </row>
    <row r="8" spans="1:13" ht="14.25">
      <c r="A8" s="1186">
        <v>3</v>
      </c>
      <c r="B8" s="1186" t="s">
        <v>913</v>
      </c>
      <c r="C8" s="1351">
        <f>'Table 3 Levels 1&amp;2'!C10</f>
        <v>19509</v>
      </c>
      <c r="D8" s="1355">
        <f>'[13]1_MFP &amp; Funded Membership'!$U11</f>
        <v>20060</v>
      </c>
      <c r="E8" s="1352">
        <f t="shared" si="1"/>
        <v>551</v>
      </c>
      <c r="F8" s="1352">
        <f t="shared" si="2"/>
        <v>551</v>
      </c>
      <c r="G8" s="1352">
        <f t="shared" si="3"/>
        <v>0</v>
      </c>
      <c r="H8" s="1353">
        <f>'Table 3 Levels 1&amp;2'!AL10</f>
        <v>4124.5448582885847</v>
      </c>
      <c r="I8" s="1356">
        <f>'Table 4 Level 3'!P8</f>
        <v>596.84</v>
      </c>
      <c r="J8" s="1356">
        <f t="shared" si="4"/>
        <v>4721.3848582885848</v>
      </c>
      <c r="K8" s="1354">
        <f t="shared" si="5"/>
        <v>2601483.0569170103</v>
      </c>
      <c r="L8" s="1356">
        <f t="shared" si="6"/>
        <v>2601483.0569170103</v>
      </c>
      <c r="M8" s="1356">
        <f t="shared" si="7"/>
        <v>0</v>
      </c>
    </row>
    <row r="9" spans="1:13" ht="14.25">
      <c r="A9" s="1186">
        <v>4</v>
      </c>
      <c r="B9" s="1186" t="s">
        <v>914</v>
      </c>
      <c r="C9" s="1351">
        <f>'Table 3 Levels 1&amp;2'!C11</f>
        <v>3556</v>
      </c>
      <c r="D9" s="1355">
        <f>'[13]1_MFP &amp; Funded Membership'!$U12</f>
        <v>3538</v>
      </c>
      <c r="E9" s="1352">
        <f t="shared" si="1"/>
        <v>-18</v>
      </c>
      <c r="F9" s="1352">
        <f t="shared" si="2"/>
        <v>0</v>
      </c>
      <c r="G9" s="1352">
        <f t="shared" si="3"/>
        <v>-18</v>
      </c>
      <c r="H9" s="1353">
        <f>'Table 3 Levels 1&amp;2'!AL11</f>
        <v>6041.9514771203603</v>
      </c>
      <c r="I9" s="1356">
        <f>'Table 4 Level 3'!P9</f>
        <v>585.76</v>
      </c>
      <c r="J9" s="1356">
        <f t="shared" si="4"/>
        <v>6627.7114771203605</v>
      </c>
      <c r="K9" s="1354">
        <f t="shared" si="5"/>
        <v>-119298.8065881665</v>
      </c>
      <c r="L9" s="1356">
        <f t="shared" si="6"/>
        <v>0</v>
      </c>
      <c r="M9" s="1356">
        <f t="shared" si="7"/>
        <v>-119298.8065881665</v>
      </c>
    </row>
    <row r="10" spans="1:13" ht="14.25">
      <c r="A10" s="1192">
        <v>5</v>
      </c>
      <c r="B10" s="1192" t="s">
        <v>915</v>
      </c>
      <c r="C10" s="1357">
        <f>'Table 3 Levels 1&amp;2'!C12</f>
        <v>5802</v>
      </c>
      <c r="D10" s="1358">
        <f>'[13]1_MFP &amp; Funded Membership'!$U13</f>
        <v>5726</v>
      </c>
      <c r="E10" s="1359">
        <f t="shared" si="1"/>
        <v>-76</v>
      </c>
      <c r="F10" s="1359">
        <f t="shared" si="2"/>
        <v>0</v>
      </c>
      <c r="G10" s="1359">
        <f t="shared" si="3"/>
        <v>-76</v>
      </c>
      <c r="H10" s="1360">
        <f>'Table 3 Levels 1&amp;2'!AL12</f>
        <v>4880.7330578848678</v>
      </c>
      <c r="I10" s="1361">
        <f>'Table 4 Level 3'!P10</f>
        <v>555.91</v>
      </c>
      <c r="J10" s="1361">
        <f t="shared" si="4"/>
        <v>5436.6430578848676</v>
      </c>
      <c r="K10" s="1362">
        <f t="shared" si="5"/>
        <v>-413184.87239924993</v>
      </c>
      <c r="L10" s="1361">
        <f t="shared" si="6"/>
        <v>0</v>
      </c>
      <c r="M10" s="1361">
        <f t="shared" si="7"/>
        <v>-413184.87239924993</v>
      </c>
    </row>
    <row r="11" spans="1:13" ht="14.25">
      <c r="A11" s="1186">
        <v>6</v>
      </c>
      <c r="B11" s="1186" t="s">
        <v>916</v>
      </c>
      <c r="C11" s="1351">
        <f>'Table 3 Levels 1&amp;2'!C13</f>
        <v>6041</v>
      </c>
      <c r="D11" s="1351">
        <f>'[13]1_MFP &amp; Funded Membership'!$U14</f>
        <v>5984</v>
      </c>
      <c r="E11" s="1352">
        <f t="shared" si="1"/>
        <v>-57</v>
      </c>
      <c r="F11" s="1352">
        <f t="shared" si="2"/>
        <v>0</v>
      </c>
      <c r="G11" s="1352">
        <f t="shared" si="3"/>
        <v>-57</v>
      </c>
      <c r="H11" s="1353">
        <f>'Table 3 Levels 1&amp;2'!AL13</f>
        <v>5635.9044142108924</v>
      </c>
      <c r="I11" s="1353">
        <f>'Table 4 Level 3'!P11</f>
        <v>545.4799999999999</v>
      </c>
      <c r="J11" s="1353">
        <f t="shared" si="4"/>
        <v>6181.3844142108919</v>
      </c>
      <c r="K11" s="1354">
        <f t="shared" si="5"/>
        <v>-352338.91161002085</v>
      </c>
      <c r="L11" s="1353">
        <f t="shared" si="6"/>
        <v>0</v>
      </c>
      <c r="M11" s="1353">
        <f t="shared" si="7"/>
        <v>-352338.91161002085</v>
      </c>
    </row>
    <row r="12" spans="1:13" ht="14.25">
      <c r="A12" s="1186">
        <v>7</v>
      </c>
      <c r="B12" s="1186" t="s">
        <v>917</v>
      </c>
      <c r="C12" s="1351">
        <f>'Table 3 Levels 1&amp;2'!C14</f>
        <v>2201</v>
      </c>
      <c r="D12" s="1351">
        <f>'[13]1_MFP &amp; Funded Membership'!$U15</f>
        <v>2218</v>
      </c>
      <c r="E12" s="1352">
        <f t="shared" si="1"/>
        <v>17</v>
      </c>
      <c r="F12" s="1352">
        <f t="shared" si="2"/>
        <v>17</v>
      </c>
      <c r="G12" s="1352">
        <f t="shared" si="3"/>
        <v>0</v>
      </c>
      <c r="H12" s="1353">
        <f>'Table 3 Levels 1&amp;2'!AL14</f>
        <v>1539.9708087233075</v>
      </c>
      <c r="I12" s="1353">
        <f>'Table 4 Level 3'!P12</f>
        <v>756.91999999999985</v>
      </c>
      <c r="J12" s="1353">
        <f t="shared" si="4"/>
        <v>2296.8908087233076</v>
      </c>
      <c r="K12" s="1354">
        <f t="shared" si="5"/>
        <v>39047.143748296228</v>
      </c>
      <c r="L12" s="1353">
        <f t="shared" si="6"/>
        <v>39047.143748296228</v>
      </c>
      <c r="M12" s="1353">
        <f t="shared" si="7"/>
        <v>0</v>
      </c>
    </row>
    <row r="13" spans="1:13" ht="14.25">
      <c r="A13" s="1186">
        <v>8</v>
      </c>
      <c r="B13" s="1186" t="s">
        <v>918</v>
      </c>
      <c r="C13" s="1351">
        <f>'Table 3 Levels 1&amp;2'!C15</f>
        <v>20302</v>
      </c>
      <c r="D13" s="1355">
        <f>'[13]1_MFP &amp; Funded Membership'!$U16</f>
        <v>20835</v>
      </c>
      <c r="E13" s="1352">
        <f t="shared" si="1"/>
        <v>533</v>
      </c>
      <c r="F13" s="1352">
        <f t="shared" si="2"/>
        <v>533</v>
      </c>
      <c r="G13" s="1352">
        <f t="shared" si="3"/>
        <v>0</v>
      </c>
      <c r="H13" s="1353">
        <f>'Table 3 Levels 1&amp;2'!AL15</f>
        <v>4001.3396175836074</v>
      </c>
      <c r="I13" s="1356">
        <f>'Table 4 Level 3'!P13</f>
        <v>725.76</v>
      </c>
      <c r="J13" s="1356">
        <f t="shared" si="4"/>
        <v>4727.0996175836071</v>
      </c>
      <c r="K13" s="1354">
        <f t="shared" si="5"/>
        <v>2519544.0961720627</v>
      </c>
      <c r="L13" s="1356">
        <f t="shared" si="6"/>
        <v>2519544.0961720627</v>
      </c>
      <c r="M13" s="1356">
        <f t="shared" si="7"/>
        <v>0</v>
      </c>
    </row>
    <row r="14" spans="1:13" ht="14.25">
      <c r="A14" s="1186">
        <v>9</v>
      </c>
      <c r="B14" s="1186" t="s">
        <v>919</v>
      </c>
      <c r="C14" s="1363">
        <f>'Table 5B2_RSD_LA'!C26</f>
        <v>40761</v>
      </c>
      <c r="D14" s="1355">
        <f>'[13]1_MFP &amp; Funded Membership'!$U17</f>
        <v>40724</v>
      </c>
      <c r="E14" s="1352">
        <f t="shared" si="1"/>
        <v>-37</v>
      </c>
      <c r="F14" s="1352">
        <f t="shared" si="2"/>
        <v>0</v>
      </c>
      <c r="G14" s="1352">
        <f t="shared" si="3"/>
        <v>-37</v>
      </c>
      <c r="H14" s="1364">
        <f>'Table 5B2_RSD_LA'!D26</f>
        <v>4384.9112825532311</v>
      </c>
      <c r="I14" s="1364">
        <f>'Table 5B2_RSD_LA'!F26</f>
        <v>744.76</v>
      </c>
      <c r="J14" s="1356">
        <f t="shared" si="4"/>
        <v>5129.6712825532313</v>
      </c>
      <c r="K14" s="1354">
        <f t="shared" si="5"/>
        <v>-189797.83745446955</v>
      </c>
      <c r="L14" s="1365">
        <f t="shared" si="6"/>
        <v>0</v>
      </c>
      <c r="M14" s="1365">
        <f t="shared" si="7"/>
        <v>-189797.83745446955</v>
      </c>
    </row>
    <row r="15" spans="1:13" ht="14.25">
      <c r="A15" s="1192">
        <v>10</v>
      </c>
      <c r="B15" s="1192" t="s">
        <v>686</v>
      </c>
      <c r="C15" s="1358">
        <f>'Table 3 Levels 1&amp;2'!C17</f>
        <v>31370</v>
      </c>
      <c r="D15" s="1358">
        <f>'[13]1_MFP &amp; Funded Membership'!$U18</f>
        <v>31029</v>
      </c>
      <c r="E15" s="1359">
        <f t="shared" si="1"/>
        <v>-341</v>
      </c>
      <c r="F15" s="1359">
        <f t="shared" si="2"/>
        <v>0</v>
      </c>
      <c r="G15" s="1359">
        <f t="shared" si="3"/>
        <v>-341</v>
      </c>
      <c r="H15" s="1361">
        <f>'Table 3 Levels 1&amp;2'!AL17</f>
        <v>4312.1443052791201</v>
      </c>
      <c r="I15" s="1361">
        <f>'Table 4 Level 3'!P15</f>
        <v>608.04000000000008</v>
      </c>
      <c r="J15" s="1361">
        <f t="shared" si="4"/>
        <v>4920.1843052791201</v>
      </c>
      <c r="K15" s="1362">
        <f t="shared" si="5"/>
        <v>-1677782.84810018</v>
      </c>
      <c r="L15" s="1366">
        <f t="shared" si="6"/>
        <v>0</v>
      </c>
      <c r="M15" s="1366">
        <f t="shared" si="7"/>
        <v>-1677782.84810018</v>
      </c>
    </row>
    <row r="16" spans="1:13" ht="14.25">
      <c r="A16" s="1186">
        <v>11</v>
      </c>
      <c r="B16" s="1186" t="s">
        <v>920</v>
      </c>
      <c r="C16" s="1355">
        <f>'Table 3 Levels 1&amp;2'!C18</f>
        <v>1605</v>
      </c>
      <c r="D16" s="1351">
        <f>'[13]1_MFP &amp; Funded Membership'!$U19</f>
        <v>1560</v>
      </c>
      <c r="E16" s="1352">
        <f t="shared" si="1"/>
        <v>-45</v>
      </c>
      <c r="F16" s="1352">
        <f t="shared" si="2"/>
        <v>0</v>
      </c>
      <c r="G16" s="1352">
        <f t="shared" si="3"/>
        <v>-45</v>
      </c>
      <c r="H16" s="1353">
        <f>'Table 3 Levels 1&amp;2'!AL18</f>
        <v>6667.3641648485982</v>
      </c>
      <c r="I16" s="1353">
        <f>'Table 4 Level 3'!P16</f>
        <v>706.55</v>
      </c>
      <c r="J16" s="1353">
        <f t="shared" si="4"/>
        <v>7373.9141648485984</v>
      </c>
      <c r="K16" s="1354">
        <f t="shared" si="5"/>
        <v>-331826.13741818693</v>
      </c>
      <c r="L16" s="1365">
        <f t="shared" si="6"/>
        <v>0</v>
      </c>
      <c r="M16" s="1365">
        <f t="shared" si="7"/>
        <v>-331826.13741818693</v>
      </c>
    </row>
    <row r="17" spans="1:13" ht="14.25">
      <c r="A17" s="1186">
        <v>12</v>
      </c>
      <c r="B17" s="1186" t="s">
        <v>921</v>
      </c>
      <c r="C17" s="1355">
        <f>'Table 3 Levels 1&amp;2'!C19</f>
        <v>1240</v>
      </c>
      <c r="D17" s="1351">
        <f>'[13]1_MFP &amp; Funded Membership'!$U20</f>
        <v>1267</v>
      </c>
      <c r="E17" s="1352">
        <f t="shared" si="1"/>
        <v>27</v>
      </c>
      <c r="F17" s="1352">
        <f t="shared" si="2"/>
        <v>27</v>
      </c>
      <c r="G17" s="1352">
        <f t="shared" si="3"/>
        <v>0</v>
      </c>
      <c r="H17" s="1353">
        <f>'Table 3 Levels 1&amp;2'!AL19</f>
        <v>1626.5264112903226</v>
      </c>
      <c r="I17" s="1353">
        <f>'Table 4 Level 3'!P17</f>
        <v>1063.31</v>
      </c>
      <c r="J17" s="1353">
        <f t="shared" si="4"/>
        <v>2689.8364112903228</v>
      </c>
      <c r="K17" s="1354">
        <f t="shared" si="5"/>
        <v>72625.583104838719</v>
      </c>
      <c r="L17" s="1365">
        <f t="shared" si="6"/>
        <v>72625.583104838719</v>
      </c>
      <c r="M17" s="1365">
        <f t="shared" si="7"/>
        <v>0</v>
      </c>
    </row>
    <row r="18" spans="1:13" ht="14.25">
      <c r="A18" s="1186">
        <v>13</v>
      </c>
      <c r="B18" s="1186" t="s">
        <v>922</v>
      </c>
      <c r="C18" s="1355">
        <f>'Table 3 Levels 1&amp;2'!C20</f>
        <v>1515</v>
      </c>
      <c r="D18" s="1355">
        <f>'[13]1_MFP &amp; Funded Membership'!$U21</f>
        <v>1521</v>
      </c>
      <c r="E18" s="1352">
        <f t="shared" si="1"/>
        <v>6</v>
      </c>
      <c r="F18" s="1352">
        <f t="shared" si="2"/>
        <v>6</v>
      </c>
      <c r="G18" s="1352">
        <f t="shared" si="3"/>
        <v>0</v>
      </c>
      <c r="H18" s="1356">
        <f>'Table 3 Levels 1&amp;2'!AL20</f>
        <v>5976.0447441689766</v>
      </c>
      <c r="I18" s="1356">
        <f>'Table 4 Level 3'!P18</f>
        <v>749.43000000000006</v>
      </c>
      <c r="J18" s="1356">
        <f t="shared" si="4"/>
        <v>6725.4747441689769</v>
      </c>
      <c r="K18" s="1354">
        <f t="shared" si="5"/>
        <v>40352.848465013863</v>
      </c>
      <c r="L18" s="1365">
        <f t="shared" si="6"/>
        <v>40352.848465013863</v>
      </c>
      <c r="M18" s="1365">
        <f t="shared" si="7"/>
        <v>0</v>
      </c>
    </row>
    <row r="19" spans="1:13" ht="14.25">
      <c r="A19" s="1186">
        <v>14</v>
      </c>
      <c r="B19" s="1186" t="s">
        <v>923</v>
      </c>
      <c r="C19" s="1355">
        <f>'Table 3 Levels 1&amp;2'!C21</f>
        <v>2009</v>
      </c>
      <c r="D19" s="1355">
        <f>'[13]1_MFP &amp; Funded Membership'!$U22</f>
        <v>1982</v>
      </c>
      <c r="E19" s="1352">
        <f t="shared" si="1"/>
        <v>-27</v>
      </c>
      <c r="F19" s="1352">
        <f t="shared" si="2"/>
        <v>0</v>
      </c>
      <c r="G19" s="1352">
        <f t="shared" si="3"/>
        <v>-27</v>
      </c>
      <c r="H19" s="1356">
        <f>'Table 3 Levels 1&amp;2'!AL21</f>
        <v>5748.9781278518667</v>
      </c>
      <c r="I19" s="1356">
        <f>'Table 4 Level 3'!P19</f>
        <v>809.9799999999999</v>
      </c>
      <c r="J19" s="1356">
        <f t="shared" si="4"/>
        <v>6558.9581278518663</v>
      </c>
      <c r="K19" s="1354">
        <f t="shared" si="5"/>
        <v>-177091.86945200039</v>
      </c>
      <c r="L19" s="1365">
        <f t="shared" si="6"/>
        <v>0</v>
      </c>
      <c r="M19" s="1365">
        <f t="shared" si="7"/>
        <v>-177091.86945200039</v>
      </c>
    </row>
    <row r="20" spans="1:13" ht="14.25">
      <c r="A20" s="1192">
        <v>15</v>
      </c>
      <c r="B20" s="1192" t="s">
        <v>924</v>
      </c>
      <c r="C20" s="1358">
        <f>'Table 3 Levels 1&amp;2'!C22</f>
        <v>3692</v>
      </c>
      <c r="D20" s="1358">
        <f>'[13]1_MFP &amp; Funded Membership'!$U23</f>
        <v>3643</v>
      </c>
      <c r="E20" s="1359">
        <f t="shared" si="1"/>
        <v>-49</v>
      </c>
      <c r="F20" s="1359">
        <f t="shared" si="2"/>
        <v>0</v>
      </c>
      <c r="G20" s="1359">
        <f t="shared" si="3"/>
        <v>-49</v>
      </c>
      <c r="H20" s="1361">
        <f>'Table 3 Levels 1&amp;2'!AL22</f>
        <v>5398.5769743445289</v>
      </c>
      <c r="I20" s="1361">
        <f>'Table 4 Level 3'!P20</f>
        <v>553.79999999999995</v>
      </c>
      <c r="J20" s="1361">
        <f t="shared" si="4"/>
        <v>5952.3769743445291</v>
      </c>
      <c r="K20" s="1362">
        <f t="shared" si="5"/>
        <v>-291666.47174288193</v>
      </c>
      <c r="L20" s="1366">
        <f t="shared" si="6"/>
        <v>0</v>
      </c>
      <c r="M20" s="1366">
        <f t="shared" si="7"/>
        <v>-291666.47174288193</v>
      </c>
    </row>
    <row r="21" spans="1:13" ht="14.25">
      <c r="A21" s="1186">
        <v>16</v>
      </c>
      <c r="B21" s="1186" t="s">
        <v>925</v>
      </c>
      <c r="C21" s="1367">
        <f>'Table 3 Levels 1&amp;2'!C23</f>
        <v>4677</v>
      </c>
      <c r="D21" s="1351">
        <f>'[13]1_MFP &amp; Funded Membership'!$U24</f>
        <v>4776</v>
      </c>
      <c r="E21" s="1352">
        <f t="shared" si="1"/>
        <v>99</v>
      </c>
      <c r="F21" s="1352">
        <f t="shared" si="2"/>
        <v>99</v>
      </c>
      <c r="G21" s="1352">
        <f t="shared" si="3"/>
        <v>0</v>
      </c>
      <c r="H21" s="1353">
        <f>'Table 3 Levels 1&amp;2'!AL23</f>
        <v>1513.1956916827025</v>
      </c>
      <c r="I21" s="1353">
        <f>'Table 4 Level 3'!P21</f>
        <v>686.73</v>
      </c>
      <c r="J21" s="1353">
        <f t="shared" si="4"/>
        <v>2199.9256916827026</v>
      </c>
      <c r="K21" s="1354">
        <f t="shared" si="5"/>
        <v>217792.64347658755</v>
      </c>
      <c r="L21" s="1365">
        <f t="shared" si="6"/>
        <v>217792.64347658755</v>
      </c>
      <c r="M21" s="1365">
        <f t="shared" si="7"/>
        <v>0</v>
      </c>
    </row>
    <row r="22" spans="1:13" ht="14.25">
      <c r="A22" s="1186">
        <v>17</v>
      </c>
      <c r="B22" s="1186" t="s">
        <v>639</v>
      </c>
      <c r="C22" s="1363">
        <f>'Table 5B2_RSD_LA'!C7</f>
        <v>40736</v>
      </c>
      <c r="D22" s="1355">
        <f>'[13]1_MFP &amp; Funded Membership'!$U25</f>
        <v>41233</v>
      </c>
      <c r="E22" s="1352">
        <f t="shared" si="1"/>
        <v>497</v>
      </c>
      <c r="F22" s="1352">
        <f t="shared" si="2"/>
        <v>497</v>
      </c>
      <c r="G22" s="1352">
        <f t="shared" si="3"/>
        <v>0</v>
      </c>
      <c r="H22" s="1364">
        <f>'Table 5B2_RSD_LA'!D7</f>
        <v>3266.8023094143459</v>
      </c>
      <c r="I22" s="1364">
        <f>'Table 5B2_RSD_LA'!F7</f>
        <v>801.47762416806802</v>
      </c>
      <c r="J22" s="1356">
        <f t="shared" si="4"/>
        <v>4068.2799335824138</v>
      </c>
      <c r="K22" s="1354">
        <f t="shared" si="5"/>
        <v>2021935.1269904596</v>
      </c>
      <c r="L22" s="1365">
        <f t="shared" si="6"/>
        <v>2021935.1269904596</v>
      </c>
      <c r="M22" s="1365">
        <f t="shared" si="7"/>
        <v>0</v>
      </c>
    </row>
    <row r="23" spans="1:13" ht="14.25">
      <c r="A23" s="1186">
        <v>18</v>
      </c>
      <c r="B23" s="1186" t="s">
        <v>926</v>
      </c>
      <c r="C23" s="1355">
        <f>'Table 3 Levels 1&amp;2'!C25</f>
        <v>1163</v>
      </c>
      <c r="D23" s="1355">
        <f>'[13]1_MFP &amp; Funded Membership'!$U26</f>
        <v>1153</v>
      </c>
      <c r="E23" s="1352">
        <f t="shared" si="1"/>
        <v>-10</v>
      </c>
      <c r="F23" s="1352">
        <f t="shared" si="2"/>
        <v>0</v>
      </c>
      <c r="G23" s="1352">
        <f t="shared" si="3"/>
        <v>-10</v>
      </c>
      <c r="H23" s="1356">
        <f>'Table 3 Levels 1&amp;2'!AL25</f>
        <v>5769.3454577403263</v>
      </c>
      <c r="I23" s="1356">
        <f>'Table 4 Level 3'!P23</f>
        <v>845.94999999999993</v>
      </c>
      <c r="J23" s="1356">
        <f t="shared" si="4"/>
        <v>6615.2954577403261</v>
      </c>
      <c r="K23" s="1354">
        <f t="shared" si="5"/>
        <v>-66152.954577403259</v>
      </c>
      <c r="L23" s="1365">
        <f t="shared" si="6"/>
        <v>0</v>
      </c>
      <c r="M23" s="1365">
        <f t="shared" si="7"/>
        <v>-66152.954577403259</v>
      </c>
    </row>
    <row r="24" spans="1:13" ht="14.25">
      <c r="A24" s="1186">
        <v>19</v>
      </c>
      <c r="B24" s="1186" t="s">
        <v>927</v>
      </c>
      <c r="C24" s="1355">
        <f>'Table 3 Levels 1&amp;2'!C26</f>
        <v>1958</v>
      </c>
      <c r="D24" s="1355">
        <f>'[13]1_MFP &amp; Funded Membership'!$U27</f>
        <v>1960</v>
      </c>
      <c r="E24" s="1352">
        <f t="shared" si="1"/>
        <v>2</v>
      </c>
      <c r="F24" s="1352">
        <f t="shared" si="2"/>
        <v>2</v>
      </c>
      <c r="G24" s="1352">
        <f t="shared" si="3"/>
        <v>0</v>
      </c>
      <c r="H24" s="1356">
        <f>'Table 3 Levels 1&amp;2'!AL26</f>
        <v>5204.1629475628188</v>
      </c>
      <c r="I24" s="1356">
        <f>'Table 4 Level 3'!P24</f>
        <v>905.43</v>
      </c>
      <c r="J24" s="1356">
        <f t="shared" si="4"/>
        <v>6109.5929475628191</v>
      </c>
      <c r="K24" s="1354">
        <f t="shared" si="5"/>
        <v>12219.185895125638</v>
      </c>
      <c r="L24" s="1365">
        <f t="shared" si="6"/>
        <v>12219.185895125638</v>
      </c>
      <c r="M24" s="1365">
        <f t="shared" si="7"/>
        <v>0</v>
      </c>
    </row>
    <row r="25" spans="1:13" ht="14.25">
      <c r="A25" s="1192">
        <v>20</v>
      </c>
      <c r="B25" s="1192" t="s">
        <v>928</v>
      </c>
      <c r="C25" s="1358">
        <f>'Table 3 Levels 1&amp;2'!C27</f>
        <v>5699</v>
      </c>
      <c r="D25" s="1358">
        <f>'[13]1_MFP &amp; Funded Membership'!$U28</f>
        <v>5806</v>
      </c>
      <c r="E25" s="1359">
        <f t="shared" si="1"/>
        <v>107</v>
      </c>
      <c r="F25" s="1359">
        <f t="shared" si="2"/>
        <v>107</v>
      </c>
      <c r="G25" s="1359">
        <f t="shared" si="3"/>
        <v>0</v>
      </c>
      <c r="H25" s="1361">
        <f>'Table 3 Levels 1&amp;2'!AL27</f>
        <v>5438.195601937884</v>
      </c>
      <c r="I25" s="1361">
        <f>'Table 4 Level 3'!P25</f>
        <v>586.16999999999996</v>
      </c>
      <c r="J25" s="1361">
        <f t="shared" si="4"/>
        <v>6024.3656019378841</v>
      </c>
      <c r="K25" s="1362">
        <f t="shared" si="5"/>
        <v>644607.11940735357</v>
      </c>
      <c r="L25" s="1366">
        <f t="shared" si="6"/>
        <v>644607.11940735357</v>
      </c>
      <c r="M25" s="1366">
        <f t="shared" si="7"/>
        <v>0</v>
      </c>
    </row>
    <row r="26" spans="1:13" ht="14.25">
      <c r="A26" s="1186">
        <v>21</v>
      </c>
      <c r="B26" s="1186" t="s">
        <v>929</v>
      </c>
      <c r="C26" s="1355">
        <f>'Table 3 Levels 1&amp;2'!C28</f>
        <v>2902</v>
      </c>
      <c r="D26" s="1351">
        <f>'[13]1_MFP &amp; Funded Membership'!$U29</f>
        <v>2945</v>
      </c>
      <c r="E26" s="1352">
        <f t="shared" si="1"/>
        <v>43</v>
      </c>
      <c r="F26" s="1352">
        <f t="shared" si="2"/>
        <v>43</v>
      </c>
      <c r="G26" s="1352">
        <f t="shared" si="3"/>
        <v>0</v>
      </c>
      <c r="H26" s="1353">
        <f>'Table 3 Levels 1&amp;2'!AL28</f>
        <v>5619.1060149138521</v>
      </c>
      <c r="I26" s="1353">
        <f>'Table 4 Level 3'!P26</f>
        <v>610.35</v>
      </c>
      <c r="J26" s="1353">
        <f t="shared" si="4"/>
        <v>6229.4560149138524</v>
      </c>
      <c r="K26" s="1354">
        <f t="shared" si="5"/>
        <v>267866.60864129564</v>
      </c>
      <c r="L26" s="1365">
        <f t="shared" si="6"/>
        <v>267866.60864129564</v>
      </c>
      <c r="M26" s="1365">
        <f t="shared" si="7"/>
        <v>0</v>
      </c>
    </row>
    <row r="27" spans="1:13" ht="14.25">
      <c r="A27" s="1186">
        <v>22</v>
      </c>
      <c r="B27" s="1186" t="s">
        <v>930</v>
      </c>
      <c r="C27" s="1355">
        <f>'Table 3 Levels 1&amp;2'!C29</f>
        <v>3306</v>
      </c>
      <c r="D27" s="1351">
        <f>'[13]1_MFP &amp; Funded Membership'!$U30</f>
        <v>3274</v>
      </c>
      <c r="E27" s="1352">
        <f t="shared" si="1"/>
        <v>-32</v>
      </c>
      <c r="F27" s="1352">
        <f t="shared" si="2"/>
        <v>0</v>
      </c>
      <c r="G27" s="1352">
        <f t="shared" si="3"/>
        <v>-32</v>
      </c>
      <c r="H27" s="1353">
        <f>'Table 3 Levels 1&amp;2'!AL29</f>
        <v>6186.2533617664849</v>
      </c>
      <c r="I27" s="1353">
        <f>'Table 4 Level 3'!P27</f>
        <v>496.36</v>
      </c>
      <c r="J27" s="1353">
        <f t="shared" si="4"/>
        <v>6682.6133617664846</v>
      </c>
      <c r="K27" s="1354">
        <f t="shared" si="5"/>
        <v>-213843.62757652751</v>
      </c>
      <c r="L27" s="1365">
        <f t="shared" si="6"/>
        <v>0</v>
      </c>
      <c r="M27" s="1365">
        <f t="shared" si="7"/>
        <v>-213843.62757652751</v>
      </c>
    </row>
    <row r="28" spans="1:13" ht="14.25">
      <c r="A28" s="1186">
        <v>23</v>
      </c>
      <c r="B28" s="1186" t="s">
        <v>931</v>
      </c>
      <c r="C28" s="1355">
        <f>'Table 3 Levels 1&amp;2'!C30</f>
        <v>13151</v>
      </c>
      <c r="D28" s="1355">
        <f>'[13]1_MFP &amp; Funded Membership'!$U31</f>
        <v>13350</v>
      </c>
      <c r="E28" s="1352">
        <f t="shared" si="1"/>
        <v>199</v>
      </c>
      <c r="F28" s="1352">
        <f t="shared" si="2"/>
        <v>199</v>
      </c>
      <c r="G28" s="1352">
        <f t="shared" si="3"/>
        <v>0</v>
      </c>
      <c r="H28" s="1356">
        <f>'Table 3 Levels 1&amp;2'!AL30</f>
        <v>4829.3097037013158</v>
      </c>
      <c r="I28" s="1356">
        <f>'Table 4 Level 3'!P28</f>
        <v>688.58</v>
      </c>
      <c r="J28" s="1356">
        <f t="shared" si="4"/>
        <v>5517.8897037013157</v>
      </c>
      <c r="K28" s="1354">
        <f t="shared" si="5"/>
        <v>1098060.0510365618</v>
      </c>
      <c r="L28" s="1365">
        <f t="shared" si="6"/>
        <v>1098060.0510365618</v>
      </c>
      <c r="M28" s="1365">
        <f t="shared" si="7"/>
        <v>0</v>
      </c>
    </row>
    <row r="29" spans="1:13" ht="14.25">
      <c r="A29" s="1186">
        <v>24</v>
      </c>
      <c r="B29" s="1186" t="s">
        <v>932</v>
      </c>
      <c r="C29" s="1355">
        <f>'Table 3 Levels 1&amp;2'!C31</f>
        <v>4369</v>
      </c>
      <c r="D29" s="1355">
        <f>'[13]1_MFP &amp; Funded Membership'!$U32</f>
        <v>4479</v>
      </c>
      <c r="E29" s="1352">
        <f t="shared" si="1"/>
        <v>110</v>
      </c>
      <c r="F29" s="1352">
        <f t="shared" si="2"/>
        <v>110</v>
      </c>
      <c r="G29" s="1352">
        <f t="shared" si="3"/>
        <v>0</v>
      </c>
      <c r="H29" s="1356">
        <f>'Table 3 Levels 1&amp;2'!AL31</f>
        <v>2494.5582513160907</v>
      </c>
      <c r="I29" s="1356">
        <f>'Table 4 Level 3'!P29</f>
        <v>854.24999999999989</v>
      </c>
      <c r="J29" s="1356">
        <f t="shared" si="4"/>
        <v>3348.8082513160907</v>
      </c>
      <c r="K29" s="1354">
        <f t="shared" si="5"/>
        <v>368368.90764476999</v>
      </c>
      <c r="L29" s="1365">
        <f t="shared" si="6"/>
        <v>368368.90764476999</v>
      </c>
      <c r="M29" s="1365">
        <f t="shared" si="7"/>
        <v>0</v>
      </c>
    </row>
    <row r="30" spans="1:13" ht="14.25">
      <c r="A30" s="1192">
        <v>25</v>
      </c>
      <c r="B30" s="1192" t="s">
        <v>933</v>
      </c>
      <c r="C30" s="1358">
        <f>'Table 3 Levels 1&amp;2'!C32</f>
        <v>2191</v>
      </c>
      <c r="D30" s="1358">
        <f>'[13]1_MFP &amp; Funded Membership'!$U33</f>
        <v>2216</v>
      </c>
      <c r="E30" s="1359">
        <f t="shared" si="1"/>
        <v>25</v>
      </c>
      <c r="F30" s="1359">
        <f t="shared" si="2"/>
        <v>25</v>
      </c>
      <c r="G30" s="1359">
        <f t="shared" si="3"/>
        <v>0</v>
      </c>
      <c r="H30" s="1361">
        <f>'Table 3 Levels 1&amp;2'!AL32</f>
        <v>3667.3121807284342</v>
      </c>
      <c r="I30" s="1361">
        <f>'Table 4 Level 3'!P30</f>
        <v>653.73</v>
      </c>
      <c r="J30" s="1361">
        <f t="shared" si="4"/>
        <v>4321.0421807284347</v>
      </c>
      <c r="K30" s="1362">
        <f t="shared" si="5"/>
        <v>108026.05451821086</v>
      </c>
      <c r="L30" s="1366">
        <f t="shared" si="6"/>
        <v>108026.05451821086</v>
      </c>
      <c r="M30" s="1366">
        <f t="shared" si="7"/>
        <v>0</v>
      </c>
    </row>
    <row r="31" spans="1:13" ht="14.25">
      <c r="A31" s="1186">
        <v>26</v>
      </c>
      <c r="B31" s="1186" t="s">
        <v>663</v>
      </c>
      <c r="C31" s="1355">
        <f>'Table 3 Levels 1&amp;2'!C33-12</f>
        <v>43028</v>
      </c>
      <c r="D31" s="1351">
        <f>'[13]1_MFP &amp; Funded Membership'!$U34</f>
        <v>43828</v>
      </c>
      <c r="E31" s="1352">
        <f t="shared" si="1"/>
        <v>800</v>
      </c>
      <c r="F31" s="1352">
        <f t="shared" si="2"/>
        <v>800</v>
      </c>
      <c r="G31" s="1352">
        <f t="shared" si="3"/>
        <v>0</v>
      </c>
      <c r="H31" s="1353">
        <f>'Table 3 Levels 1&amp;2'!AL33</f>
        <v>3150.3479009796833</v>
      </c>
      <c r="I31" s="1353">
        <f>'Table 4 Level 3'!P31</f>
        <v>836.83</v>
      </c>
      <c r="J31" s="1353">
        <f t="shared" si="4"/>
        <v>3987.1779009796833</v>
      </c>
      <c r="K31" s="1354">
        <f t="shared" si="5"/>
        <v>3189742.3207837464</v>
      </c>
      <c r="L31" s="1365">
        <f t="shared" si="6"/>
        <v>3189742.3207837464</v>
      </c>
      <c r="M31" s="1365">
        <f t="shared" si="7"/>
        <v>0</v>
      </c>
    </row>
    <row r="32" spans="1:13" ht="14.25">
      <c r="A32" s="1186">
        <v>27</v>
      </c>
      <c r="B32" s="1186" t="s">
        <v>934</v>
      </c>
      <c r="C32" s="1355">
        <f>'Table 3 Levels 1&amp;2'!C34</f>
        <v>5599</v>
      </c>
      <c r="D32" s="1351">
        <f>'[13]1_MFP &amp; Funded Membership'!$U35</f>
        <v>5577</v>
      </c>
      <c r="E32" s="1352">
        <f t="shared" si="1"/>
        <v>-22</v>
      </c>
      <c r="F32" s="1352">
        <f t="shared" si="2"/>
        <v>0</v>
      </c>
      <c r="G32" s="1352">
        <f t="shared" si="3"/>
        <v>-22</v>
      </c>
      <c r="H32" s="1353">
        <f>'Table 3 Levels 1&amp;2'!AL34</f>
        <v>5715.0018781210929</v>
      </c>
      <c r="I32" s="1353">
        <f>'Table 4 Level 3'!P32</f>
        <v>693.06</v>
      </c>
      <c r="J32" s="1353">
        <f t="shared" si="4"/>
        <v>6408.0618781210924</v>
      </c>
      <c r="K32" s="1354">
        <f t="shared" si="5"/>
        <v>-140977.36131866404</v>
      </c>
      <c r="L32" s="1365">
        <f t="shared" si="6"/>
        <v>0</v>
      </c>
      <c r="M32" s="1365">
        <f t="shared" si="7"/>
        <v>-140977.36131866404</v>
      </c>
    </row>
    <row r="33" spans="1:13" ht="14.25">
      <c r="A33" s="1186">
        <v>28</v>
      </c>
      <c r="B33" s="1186" t="s">
        <v>935</v>
      </c>
      <c r="C33" s="1355">
        <f>'Table 3 Levels 1&amp;2'!C35</f>
        <v>29511</v>
      </c>
      <c r="D33" s="1355">
        <f>'[13]1_MFP &amp; Funded Membership'!$U36</f>
        <v>29869</v>
      </c>
      <c r="E33" s="1352">
        <f t="shared" si="1"/>
        <v>358</v>
      </c>
      <c r="F33" s="1352">
        <f t="shared" si="2"/>
        <v>358</v>
      </c>
      <c r="G33" s="1352">
        <f t="shared" si="3"/>
        <v>0</v>
      </c>
      <c r="H33" s="1356">
        <f>'Table 3 Levels 1&amp;2'!AL35</f>
        <v>3367.3455288990817</v>
      </c>
      <c r="I33" s="1356">
        <f>'Table 4 Level 3'!P33</f>
        <v>694.4</v>
      </c>
      <c r="J33" s="1356">
        <f t="shared" si="4"/>
        <v>4061.7455288990818</v>
      </c>
      <c r="K33" s="1354">
        <f t="shared" si="5"/>
        <v>1454104.8993458713</v>
      </c>
      <c r="L33" s="1365">
        <f t="shared" si="6"/>
        <v>1454104.8993458713</v>
      </c>
      <c r="M33" s="1365">
        <f t="shared" si="7"/>
        <v>0</v>
      </c>
    </row>
    <row r="34" spans="1:13" ht="14.25">
      <c r="A34" s="1186">
        <v>29</v>
      </c>
      <c r="B34" s="1186" t="s">
        <v>936</v>
      </c>
      <c r="C34" s="1355">
        <f>'Table 3 Levels 1&amp;2'!C36</f>
        <v>13458</v>
      </c>
      <c r="D34" s="1355">
        <f>'[13]1_MFP &amp; Funded Membership'!$U37</f>
        <v>13652</v>
      </c>
      <c r="E34" s="1352">
        <f t="shared" si="1"/>
        <v>194</v>
      </c>
      <c r="F34" s="1352">
        <f t="shared" si="2"/>
        <v>194</v>
      </c>
      <c r="G34" s="1352">
        <f t="shared" si="3"/>
        <v>0</v>
      </c>
      <c r="H34" s="1356">
        <f>'Table 3 Levels 1&amp;2'!AL36</f>
        <v>4199.8161124471389</v>
      </c>
      <c r="I34" s="1356">
        <f>'Table 4 Level 3'!P34</f>
        <v>754.94999999999993</v>
      </c>
      <c r="J34" s="1356">
        <f t="shared" si="4"/>
        <v>4954.7661124471388</v>
      </c>
      <c r="K34" s="1354">
        <f t="shared" si="5"/>
        <v>961224.62581474497</v>
      </c>
      <c r="L34" s="1365">
        <f t="shared" si="6"/>
        <v>961224.62581474497</v>
      </c>
      <c r="M34" s="1365">
        <f t="shared" si="7"/>
        <v>0</v>
      </c>
    </row>
    <row r="35" spans="1:13" ht="14.25">
      <c r="A35" s="1192">
        <v>30</v>
      </c>
      <c r="B35" s="1192" t="s">
        <v>937</v>
      </c>
      <c r="C35" s="1358">
        <f>'Table 3 Levels 1&amp;2'!C37</f>
        <v>2440</v>
      </c>
      <c r="D35" s="1358">
        <f>'[13]1_MFP &amp; Funded Membership'!$U38</f>
        <v>2472</v>
      </c>
      <c r="E35" s="1359">
        <f t="shared" si="1"/>
        <v>32</v>
      </c>
      <c r="F35" s="1359">
        <f t="shared" si="2"/>
        <v>32</v>
      </c>
      <c r="G35" s="1359">
        <f t="shared" si="3"/>
        <v>0</v>
      </c>
      <c r="H35" s="1361">
        <f>'Table 3 Levels 1&amp;2'!AL37</f>
        <v>5781.5240951203286</v>
      </c>
      <c r="I35" s="1361">
        <f>'Table 4 Level 3'!P35</f>
        <v>727.17</v>
      </c>
      <c r="J35" s="1361">
        <f t="shared" si="4"/>
        <v>6508.6940951203287</v>
      </c>
      <c r="K35" s="1362">
        <f t="shared" si="5"/>
        <v>208278.21104385052</v>
      </c>
      <c r="L35" s="1366">
        <f t="shared" si="6"/>
        <v>208278.21104385052</v>
      </c>
      <c r="M35" s="1366">
        <f t="shared" si="7"/>
        <v>0</v>
      </c>
    </row>
    <row r="36" spans="1:13" ht="14.25">
      <c r="A36" s="1186">
        <v>31</v>
      </c>
      <c r="B36" s="1186" t="s">
        <v>654</v>
      </c>
      <c r="C36" s="1355">
        <f>'Table 3 Levels 1&amp;2'!C38-5</f>
        <v>6465</v>
      </c>
      <c r="D36" s="1351">
        <f>'[13]1_MFP &amp; Funded Membership'!$U39</f>
        <v>6454</v>
      </c>
      <c r="E36" s="1352">
        <f t="shared" si="1"/>
        <v>-11</v>
      </c>
      <c r="F36" s="1352">
        <f t="shared" si="2"/>
        <v>0</v>
      </c>
      <c r="G36" s="1352">
        <f t="shared" si="3"/>
        <v>-11</v>
      </c>
      <c r="H36" s="1353">
        <f>'Table 3 Levels 1&amp;2'!AL38</f>
        <v>4232.8839525109115</v>
      </c>
      <c r="I36" s="1353">
        <f>'Table 4 Level 3'!P36</f>
        <v>620.83000000000004</v>
      </c>
      <c r="J36" s="1353">
        <f t="shared" si="4"/>
        <v>4853.7139525109114</v>
      </c>
      <c r="K36" s="1354">
        <f t="shared" si="5"/>
        <v>-53390.853477620025</v>
      </c>
      <c r="L36" s="1365">
        <f t="shared" si="6"/>
        <v>0</v>
      </c>
      <c r="M36" s="1365">
        <f t="shared" si="7"/>
        <v>-53390.853477620025</v>
      </c>
    </row>
    <row r="37" spans="1:13" ht="14.25">
      <c r="A37" s="1186">
        <v>32</v>
      </c>
      <c r="B37" s="1186" t="s">
        <v>640</v>
      </c>
      <c r="C37" s="1355">
        <f>'Table 3 Levels 1&amp;2'!C39</f>
        <v>24050</v>
      </c>
      <c r="D37" s="1351">
        <f>'[13]1_MFP &amp; Funded Membership'!$U40</f>
        <v>24422</v>
      </c>
      <c r="E37" s="1352">
        <f t="shared" si="1"/>
        <v>372</v>
      </c>
      <c r="F37" s="1352">
        <f t="shared" si="2"/>
        <v>372</v>
      </c>
      <c r="G37" s="1352">
        <f t="shared" si="3"/>
        <v>0</v>
      </c>
      <c r="H37" s="1353">
        <f>'Table 3 Levels 1&amp;2'!AL39</f>
        <v>5420.1173375514345</v>
      </c>
      <c r="I37" s="1353">
        <f>'Table 4 Level 3'!P37</f>
        <v>559.77</v>
      </c>
      <c r="J37" s="1353">
        <f t="shared" si="4"/>
        <v>5979.887337551434</v>
      </c>
      <c r="K37" s="1354">
        <f t="shared" si="5"/>
        <v>2224518.0895691332</v>
      </c>
      <c r="L37" s="1365">
        <f t="shared" si="6"/>
        <v>2224518.0895691332</v>
      </c>
      <c r="M37" s="1365">
        <f t="shared" si="7"/>
        <v>0</v>
      </c>
    </row>
    <row r="38" spans="1:13" ht="14.25">
      <c r="A38" s="1186">
        <v>33</v>
      </c>
      <c r="B38" s="1186" t="s">
        <v>938</v>
      </c>
      <c r="C38" s="1355">
        <f>'Table 3 Levels 1&amp;2'!C40</f>
        <v>1832</v>
      </c>
      <c r="D38" s="1355">
        <f>'[13]1_MFP &amp; Funded Membership'!$U41</f>
        <v>1842</v>
      </c>
      <c r="E38" s="1352">
        <f t="shared" si="1"/>
        <v>10</v>
      </c>
      <c r="F38" s="1352">
        <f t="shared" si="2"/>
        <v>10</v>
      </c>
      <c r="G38" s="1352">
        <f t="shared" si="3"/>
        <v>0</v>
      </c>
      <c r="H38" s="1356">
        <f>'Table 3 Levels 1&amp;2'!AL40</f>
        <v>5722.9804748646293</v>
      </c>
      <c r="I38" s="1356">
        <f>'Table 4 Level 3'!P38</f>
        <v>655.31000000000006</v>
      </c>
      <c r="J38" s="1356">
        <f t="shared" si="4"/>
        <v>6378.2904748646297</v>
      </c>
      <c r="K38" s="1354">
        <f t="shared" si="5"/>
        <v>63782.904748646295</v>
      </c>
      <c r="L38" s="1365">
        <f t="shared" si="6"/>
        <v>63782.904748646295</v>
      </c>
      <c r="M38" s="1365">
        <f t="shared" si="7"/>
        <v>0</v>
      </c>
    </row>
    <row r="39" spans="1:13" ht="14.25">
      <c r="A39" s="1186">
        <v>34</v>
      </c>
      <c r="B39" s="1186" t="s">
        <v>939</v>
      </c>
      <c r="C39" s="1355">
        <f>'Table 3 Levels 1&amp;2'!C41</f>
        <v>4365</v>
      </c>
      <c r="D39" s="1355">
        <f>'[13]1_MFP &amp; Funded Membership'!$U42</f>
        <v>4333</v>
      </c>
      <c r="E39" s="1352">
        <f t="shared" si="1"/>
        <v>-32</v>
      </c>
      <c r="F39" s="1352">
        <f t="shared" si="2"/>
        <v>0</v>
      </c>
      <c r="G39" s="1352">
        <f t="shared" si="3"/>
        <v>-32</v>
      </c>
      <c r="H39" s="1356">
        <f>'Table 3 Levels 1&amp;2'!AL41</f>
        <v>5764.7879674684991</v>
      </c>
      <c r="I39" s="1356">
        <f>'Table 4 Level 3'!P39</f>
        <v>644.11000000000013</v>
      </c>
      <c r="J39" s="1356">
        <f t="shared" si="4"/>
        <v>6408.8979674684997</v>
      </c>
      <c r="K39" s="1354">
        <f t="shared" si="5"/>
        <v>-205084.73495899199</v>
      </c>
      <c r="L39" s="1365">
        <f t="shared" si="6"/>
        <v>0</v>
      </c>
      <c r="M39" s="1365">
        <f t="shared" si="7"/>
        <v>-205084.73495899199</v>
      </c>
    </row>
    <row r="40" spans="1:13" ht="14.25">
      <c r="A40" s="1192">
        <v>35</v>
      </c>
      <c r="B40" s="1192" t="s">
        <v>940</v>
      </c>
      <c r="C40" s="1358">
        <f>'Table 3 Levels 1&amp;2'!C42</f>
        <v>6438</v>
      </c>
      <c r="D40" s="1358">
        <f>'[13]1_MFP &amp; Funded Membership'!$U43</f>
        <v>6459</v>
      </c>
      <c r="E40" s="1359">
        <f t="shared" si="1"/>
        <v>21</v>
      </c>
      <c r="F40" s="1359">
        <f t="shared" si="2"/>
        <v>21</v>
      </c>
      <c r="G40" s="1359">
        <f t="shared" si="3"/>
        <v>0</v>
      </c>
      <c r="H40" s="1361">
        <f>'Table 3 Levels 1&amp;2'!AL42</f>
        <v>4964.5860960223672</v>
      </c>
      <c r="I40" s="1361">
        <f>'Table 4 Level 3'!P40</f>
        <v>537.96</v>
      </c>
      <c r="J40" s="1361">
        <f t="shared" si="4"/>
        <v>5502.5460960223672</v>
      </c>
      <c r="K40" s="1362">
        <f t="shared" si="5"/>
        <v>115553.46801646971</v>
      </c>
      <c r="L40" s="1366">
        <f t="shared" si="6"/>
        <v>115553.46801646971</v>
      </c>
      <c r="M40" s="1366">
        <f t="shared" si="7"/>
        <v>0</v>
      </c>
    </row>
    <row r="41" spans="1:13" ht="14.25">
      <c r="A41" s="1186">
        <v>36</v>
      </c>
      <c r="B41" s="1186" t="s">
        <v>662</v>
      </c>
      <c r="C41" s="1363">
        <f>'Table 5B1_RSD_Orleans'!C6</f>
        <v>10215</v>
      </c>
      <c r="D41" s="1355">
        <f>'[13]1_MFP &amp; Funded Membership'!$U44</f>
        <v>10662</v>
      </c>
      <c r="E41" s="1352">
        <f t="shared" si="1"/>
        <v>447</v>
      </c>
      <c r="F41" s="1352">
        <f t="shared" si="2"/>
        <v>447</v>
      </c>
      <c r="G41" s="1352">
        <f t="shared" si="3"/>
        <v>0</v>
      </c>
      <c r="H41" s="1364">
        <f>'Table 5B1_RSD_Orleans'!D6</f>
        <v>3252.0270959716217</v>
      </c>
      <c r="I41" s="1368">
        <f>'Table 5B1_RSD_Orleans'!F6</f>
        <v>727.23177743956114</v>
      </c>
      <c r="J41" s="1356">
        <f t="shared" si="4"/>
        <v>3979.2588734111828</v>
      </c>
      <c r="K41" s="1354">
        <f t="shared" si="5"/>
        <v>1778728.7164147987</v>
      </c>
      <c r="L41" s="1365">
        <f t="shared" si="6"/>
        <v>1778728.7164147987</v>
      </c>
      <c r="M41" s="1365">
        <f t="shared" si="7"/>
        <v>0</v>
      </c>
    </row>
    <row r="42" spans="1:13" ht="14.25">
      <c r="A42" s="1186">
        <v>37</v>
      </c>
      <c r="B42" s="1186" t="s">
        <v>653</v>
      </c>
      <c r="C42" s="1351">
        <f>'Table 3 Levels 1&amp;2'!C44-7</f>
        <v>19046</v>
      </c>
      <c r="D42" s="1351">
        <f>'[13]1_MFP &amp; Funded Membership'!$U45</f>
        <v>19271</v>
      </c>
      <c r="E42" s="1352">
        <f t="shared" si="1"/>
        <v>225</v>
      </c>
      <c r="F42" s="1352">
        <f t="shared" si="2"/>
        <v>225</v>
      </c>
      <c r="G42" s="1352">
        <f t="shared" si="3"/>
        <v>0</v>
      </c>
      <c r="H42" s="1353">
        <f>'Table 3 Levels 1&amp;2'!AL44</f>
        <v>5472.0894180640744</v>
      </c>
      <c r="I42" s="1353">
        <f>'Table 4 Level 3'!P42</f>
        <v>653.61</v>
      </c>
      <c r="J42" s="1353">
        <f t="shared" si="4"/>
        <v>6125.6994180640741</v>
      </c>
      <c r="K42" s="1354">
        <f t="shared" si="5"/>
        <v>1378282.3690644167</v>
      </c>
      <c r="L42" s="1365">
        <f t="shared" si="6"/>
        <v>1378282.3690644167</v>
      </c>
      <c r="M42" s="1365">
        <f t="shared" si="7"/>
        <v>0</v>
      </c>
    </row>
    <row r="43" spans="1:13" ht="14.25">
      <c r="A43" s="1186">
        <v>38</v>
      </c>
      <c r="B43" s="1186" t="s">
        <v>673</v>
      </c>
      <c r="C43" s="1351">
        <f>'Table 3 Levels 1&amp;2'!C45</f>
        <v>3728</v>
      </c>
      <c r="D43" s="1355">
        <f>'[13]1_MFP &amp; Funded Membership'!$U46</f>
        <v>3749</v>
      </c>
      <c r="E43" s="1352">
        <f t="shared" si="1"/>
        <v>21</v>
      </c>
      <c r="F43" s="1352">
        <f t="shared" si="2"/>
        <v>21</v>
      </c>
      <c r="G43" s="1352">
        <f t="shared" si="3"/>
        <v>0</v>
      </c>
      <c r="H43" s="1353">
        <f>'Table 3 Levels 1&amp;2'!AL45</f>
        <v>2396.5582752145924</v>
      </c>
      <c r="I43" s="1353">
        <f>'Table 4 Level 3'!P43</f>
        <v>829.92000000000007</v>
      </c>
      <c r="J43" s="1356">
        <f t="shared" si="4"/>
        <v>3226.4782752145925</v>
      </c>
      <c r="K43" s="1354">
        <f t="shared" si="5"/>
        <v>67756.043779506435</v>
      </c>
      <c r="L43" s="1365">
        <f t="shared" si="6"/>
        <v>67756.043779506435</v>
      </c>
      <c r="M43" s="1365">
        <f t="shared" si="7"/>
        <v>0</v>
      </c>
    </row>
    <row r="44" spans="1:13" ht="14.25">
      <c r="A44" s="1186">
        <v>39</v>
      </c>
      <c r="B44" s="1186" t="s">
        <v>941</v>
      </c>
      <c r="C44" s="1363">
        <f>'Table 5B2_RSD_LA'!C21</f>
        <v>2513</v>
      </c>
      <c r="D44" s="1355">
        <f>'[13]1_MFP &amp; Funded Membership'!$U47</f>
        <v>2593</v>
      </c>
      <c r="E44" s="1352">
        <f t="shared" si="1"/>
        <v>80</v>
      </c>
      <c r="F44" s="1352">
        <f t="shared" si="2"/>
        <v>80</v>
      </c>
      <c r="G44" s="1352">
        <f t="shared" si="3"/>
        <v>0</v>
      </c>
      <c r="H44" s="1364">
        <f>'Table 5B2_RSD_LA'!D21</f>
        <v>3635.3042654739083</v>
      </c>
      <c r="I44" s="1364">
        <f>'Table 5B2_RSD_LA'!F21</f>
        <v>779.65573042776441</v>
      </c>
      <c r="J44" s="1356">
        <f t="shared" si="4"/>
        <v>4414.9599959016723</v>
      </c>
      <c r="K44" s="1354">
        <f t="shared" si="5"/>
        <v>353196.79967213375</v>
      </c>
      <c r="L44" s="1365">
        <f t="shared" si="6"/>
        <v>353196.79967213375</v>
      </c>
      <c r="M44" s="1365">
        <f t="shared" si="7"/>
        <v>0</v>
      </c>
    </row>
    <row r="45" spans="1:13" ht="14.25">
      <c r="A45" s="1192">
        <v>40</v>
      </c>
      <c r="B45" s="1192" t="s">
        <v>942</v>
      </c>
      <c r="C45" s="1358">
        <f>'Table 3 Levels 1&amp;2'!C47</f>
        <v>22762</v>
      </c>
      <c r="D45" s="1358">
        <f>'[13]1_MFP &amp; Funded Membership'!$U48</f>
        <v>23074</v>
      </c>
      <c r="E45" s="1359">
        <f t="shared" si="1"/>
        <v>312</v>
      </c>
      <c r="F45" s="1359">
        <f t="shared" si="2"/>
        <v>312</v>
      </c>
      <c r="G45" s="1359">
        <f t="shared" si="3"/>
        <v>0</v>
      </c>
      <c r="H45" s="1361">
        <f>'Table 3 Levels 1&amp;2'!AL47</f>
        <v>4798.7684239124856</v>
      </c>
      <c r="I45" s="1361">
        <f>'Table 4 Level 3'!P45</f>
        <v>700.2700000000001</v>
      </c>
      <c r="J45" s="1361">
        <f t="shared" si="4"/>
        <v>5499.038423912486</v>
      </c>
      <c r="K45" s="1362">
        <f t="shared" si="5"/>
        <v>1715699.9882606957</v>
      </c>
      <c r="L45" s="1366">
        <f t="shared" si="6"/>
        <v>1715699.9882606957</v>
      </c>
      <c r="M45" s="1366">
        <f t="shared" si="7"/>
        <v>0</v>
      </c>
    </row>
    <row r="46" spans="1:13" ht="14.25">
      <c r="A46" s="1186">
        <v>41</v>
      </c>
      <c r="B46" s="1186" t="s">
        <v>943</v>
      </c>
      <c r="C46" s="1355">
        <f>'Table 3 Levels 1&amp;2'!C48</f>
        <v>1434</v>
      </c>
      <c r="D46" s="1351">
        <f>'[13]1_MFP &amp; Funded Membership'!$U49</f>
        <v>1410</v>
      </c>
      <c r="E46" s="1352">
        <f t="shared" si="1"/>
        <v>-24</v>
      </c>
      <c r="F46" s="1352">
        <f t="shared" si="2"/>
        <v>0</v>
      </c>
      <c r="G46" s="1352">
        <f t="shared" si="3"/>
        <v>-24</v>
      </c>
      <c r="H46" s="1353">
        <f>'Table 3 Levels 1&amp;2'!AL48</f>
        <v>2247.7949790794978</v>
      </c>
      <c r="I46" s="1353">
        <f>'Table 4 Level 3'!P46</f>
        <v>886.22</v>
      </c>
      <c r="J46" s="1353">
        <f t="shared" si="4"/>
        <v>3134.0149790794976</v>
      </c>
      <c r="K46" s="1354">
        <f t="shared" si="5"/>
        <v>-75216.35949790795</v>
      </c>
      <c r="L46" s="1365">
        <f t="shared" si="6"/>
        <v>0</v>
      </c>
      <c r="M46" s="1365">
        <f t="shared" si="7"/>
        <v>-75216.35949790795</v>
      </c>
    </row>
    <row r="47" spans="1:13" ht="14.25">
      <c r="A47" s="1186">
        <v>42</v>
      </c>
      <c r="B47" s="1186" t="s">
        <v>944</v>
      </c>
      <c r="C47" s="1355">
        <f>'Table 3 Levels 1&amp;2'!C49</f>
        <v>3298</v>
      </c>
      <c r="D47" s="1351">
        <f>'[13]1_MFP &amp; Funded Membership'!$U50</f>
        <v>3394</v>
      </c>
      <c r="E47" s="1352">
        <f t="shared" si="1"/>
        <v>96</v>
      </c>
      <c r="F47" s="1352">
        <f t="shared" si="2"/>
        <v>96</v>
      </c>
      <c r="G47" s="1352">
        <f t="shared" si="3"/>
        <v>0</v>
      </c>
      <c r="H47" s="1353">
        <f>'Table 3 Levels 1&amp;2'!AL49</f>
        <v>5501.0856550306853</v>
      </c>
      <c r="I47" s="1353">
        <f>'Table 4 Level 3'!P47</f>
        <v>534.28</v>
      </c>
      <c r="J47" s="1353">
        <f t="shared" si="4"/>
        <v>6035.365655030685</v>
      </c>
      <c r="K47" s="1354">
        <f t="shared" si="5"/>
        <v>579395.10288294579</v>
      </c>
      <c r="L47" s="1365">
        <f t="shared" si="6"/>
        <v>579395.10288294579</v>
      </c>
      <c r="M47" s="1365">
        <f t="shared" si="7"/>
        <v>0</v>
      </c>
    </row>
    <row r="48" spans="1:13" ht="14.25">
      <c r="A48" s="1186">
        <v>43</v>
      </c>
      <c r="B48" s="1186" t="s">
        <v>945</v>
      </c>
      <c r="C48" s="1355">
        <f>'Table 3 Levels 1&amp;2'!C50</f>
        <v>3981</v>
      </c>
      <c r="D48" s="1355">
        <f>'[13]1_MFP &amp; Funded Membership'!$U51</f>
        <v>3956</v>
      </c>
      <c r="E48" s="1352">
        <f t="shared" si="1"/>
        <v>-25</v>
      </c>
      <c r="F48" s="1352">
        <f t="shared" si="2"/>
        <v>0</v>
      </c>
      <c r="G48" s="1352">
        <f t="shared" si="3"/>
        <v>-25</v>
      </c>
      <c r="H48" s="1356">
        <f>'Table 3 Levels 1&amp;2'!AL50</f>
        <v>5962.5822210132128</v>
      </c>
      <c r="I48" s="1356">
        <f>'Table 4 Level 3'!P48</f>
        <v>574.6099999999999</v>
      </c>
      <c r="J48" s="1356">
        <f t="shared" si="4"/>
        <v>6537.1922210132125</v>
      </c>
      <c r="K48" s="1354">
        <f t="shared" si="5"/>
        <v>-163429.8055253303</v>
      </c>
      <c r="L48" s="1365">
        <f t="shared" si="6"/>
        <v>0</v>
      </c>
      <c r="M48" s="1365">
        <f t="shared" si="7"/>
        <v>-163429.8055253303</v>
      </c>
    </row>
    <row r="49" spans="1:13" ht="14.25">
      <c r="A49" s="1186">
        <v>44</v>
      </c>
      <c r="B49" s="1186" t="s">
        <v>664</v>
      </c>
      <c r="C49" s="1355">
        <f>'Table 3 Levels 1&amp;2'!C51</f>
        <v>5439</v>
      </c>
      <c r="D49" s="1355">
        <f>'[13]1_MFP &amp; Funded Membership'!$U52</f>
        <v>5804</v>
      </c>
      <c r="E49" s="1352">
        <f t="shared" si="1"/>
        <v>365</v>
      </c>
      <c r="F49" s="1352">
        <f t="shared" si="2"/>
        <v>365</v>
      </c>
      <c r="G49" s="1352">
        <f t="shared" si="3"/>
        <v>0</v>
      </c>
      <c r="H49" s="1356">
        <f>'Table 3 Levels 1&amp;2'!AL51</f>
        <v>4357.2434646748297</v>
      </c>
      <c r="I49" s="1356">
        <f>'Table 4 Level 3'!P49</f>
        <v>663.16000000000008</v>
      </c>
      <c r="J49" s="1356">
        <f t="shared" si="4"/>
        <v>5020.4034646748296</v>
      </c>
      <c r="K49" s="1354">
        <f t="shared" si="5"/>
        <v>1832447.2646063128</v>
      </c>
      <c r="L49" s="1365">
        <f t="shared" si="6"/>
        <v>1832447.2646063128</v>
      </c>
      <c r="M49" s="1365">
        <f t="shared" si="7"/>
        <v>0</v>
      </c>
    </row>
    <row r="50" spans="1:13" ht="14.25">
      <c r="A50" s="1192">
        <v>45</v>
      </c>
      <c r="B50" s="1192" t="s">
        <v>665</v>
      </c>
      <c r="C50" s="1358">
        <f>'Table 3 Levels 1&amp;2'!C52</f>
        <v>9430</v>
      </c>
      <c r="D50" s="1358">
        <f>'[13]1_MFP &amp; Funded Membership'!$U53</f>
        <v>9495</v>
      </c>
      <c r="E50" s="1359">
        <f t="shared" si="1"/>
        <v>65</v>
      </c>
      <c r="F50" s="1359">
        <f t="shared" si="2"/>
        <v>65</v>
      </c>
      <c r="G50" s="1359">
        <f t="shared" si="3"/>
        <v>0</v>
      </c>
      <c r="H50" s="1361">
        <f>'Table 3 Levels 1&amp;2'!AL52</f>
        <v>2430.4793213149524</v>
      </c>
      <c r="I50" s="1361">
        <f>'Table 4 Level 3'!P50</f>
        <v>753.96000000000015</v>
      </c>
      <c r="J50" s="1361">
        <f t="shared" si="4"/>
        <v>3184.4393213149524</v>
      </c>
      <c r="K50" s="1362">
        <f t="shared" si="5"/>
        <v>206988.5558854719</v>
      </c>
      <c r="L50" s="1366">
        <f t="shared" si="6"/>
        <v>206988.5558854719</v>
      </c>
      <c r="M50" s="1366">
        <f t="shared" si="7"/>
        <v>0</v>
      </c>
    </row>
    <row r="51" spans="1:13" ht="14.25">
      <c r="A51" s="1186">
        <v>46</v>
      </c>
      <c r="B51" s="1186" t="s">
        <v>946</v>
      </c>
      <c r="C51" s="1363">
        <f>'Table 5B2_RSD_LA'!C33</f>
        <v>749</v>
      </c>
      <c r="D51" s="1351">
        <f>'[13]1_MFP &amp; Funded Membership'!$U54</f>
        <v>755</v>
      </c>
      <c r="E51" s="1352">
        <f t="shared" si="1"/>
        <v>6</v>
      </c>
      <c r="F51" s="1352">
        <f t="shared" si="2"/>
        <v>6</v>
      </c>
      <c r="G51" s="1352">
        <f t="shared" si="3"/>
        <v>0</v>
      </c>
      <c r="H51" s="1364">
        <f>'Table 5B2_RSD_LA'!D33</f>
        <v>5802.1110099800544</v>
      </c>
      <c r="I51" s="1364">
        <f>'Table 5B2_RSD_LA'!F33</f>
        <v>728.06</v>
      </c>
      <c r="J51" s="1353">
        <f t="shared" si="4"/>
        <v>6530.1710099800548</v>
      </c>
      <c r="K51" s="1354">
        <f t="shared" si="5"/>
        <v>39181.026059880329</v>
      </c>
      <c r="L51" s="1365">
        <f t="shared" si="6"/>
        <v>39181.026059880329</v>
      </c>
      <c r="M51" s="1365">
        <f t="shared" si="7"/>
        <v>0</v>
      </c>
    </row>
    <row r="52" spans="1:13" ht="14.25">
      <c r="A52" s="1186">
        <v>47</v>
      </c>
      <c r="B52" s="1186" t="s">
        <v>947</v>
      </c>
      <c r="C52" s="1351">
        <f>'Table 3 Levels 1&amp;2'!C54</f>
        <v>3716</v>
      </c>
      <c r="D52" s="1351">
        <f>'[13]1_MFP &amp; Funded Membership'!$U55</f>
        <v>3659</v>
      </c>
      <c r="E52" s="1352">
        <f t="shared" si="1"/>
        <v>-57</v>
      </c>
      <c r="F52" s="1352">
        <f t="shared" si="2"/>
        <v>0</v>
      </c>
      <c r="G52" s="1352">
        <f t="shared" si="3"/>
        <v>-57</v>
      </c>
      <c r="H52" s="1353">
        <f>'Table 3 Levels 1&amp;2'!AL54</f>
        <v>3442.3675138747039</v>
      </c>
      <c r="I52" s="1353">
        <f>'Table 4 Level 3'!P52</f>
        <v>910.76</v>
      </c>
      <c r="J52" s="1353">
        <f t="shared" si="4"/>
        <v>4353.1275138747042</v>
      </c>
      <c r="K52" s="1354">
        <f t="shared" si="5"/>
        <v>-248128.26829085813</v>
      </c>
      <c r="L52" s="1365">
        <f t="shared" si="6"/>
        <v>0</v>
      </c>
      <c r="M52" s="1365">
        <f t="shared" si="7"/>
        <v>-248128.26829085813</v>
      </c>
    </row>
    <row r="53" spans="1:13" ht="14.25">
      <c r="A53" s="1186">
        <v>48</v>
      </c>
      <c r="B53" s="1186" t="s">
        <v>948</v>
      </c>
      <c r="C53" s="1351">
        <f>'Table 3 Levels 1&amp;2'!C55</f>
        <v>6033</v>
      </c>
      <c r="D53" s="1355">
        <f>'[13]1_MFP &amp; Funded Membership'!$U56</f>
        <v>6147</v>
      </c>
      <c r="E53" s="1352">
        <f t="shared" si="1"/>
        <v>114</v>
      </c>
      <c r="F53" s="1352">
        <f t="shared" si="2"/>
        <v>114</v>
      </c>
      <c r="G53" s="1352">
        <f t="shared" si="3"/>
        <v>0</v>
      </c>
      <c r="H53" s="1356">
        <f>'Table 3 Levels 1&amp;2'!AL55</f>
        <v>3462.9674441491134</v>
      </c>
      <c r="I53" s="1356">
        <f>'Table 4 Level 3'!P53</f>
        <v>871.07</v>
      </c>
      <c r="J53" s="1356">
        <f t="shared" si="4"/>
        <v>4334.0374441491131</v>
      </c>
      <c r="K53" s="1354">
        <f t="shared" si="5"/>
        <v>494080.26863299886</v>
      </c>
      <c r="L53" s="1365">
        <f t="shared" si="6"/>
        <v>494080.26863299886</v>
      </c>
      <c r="M53" s="1365">
        <f t="shared" si="7"/>
        <v>0</v>
      </c>
    </row>
    <row r="54" spans="1:13" ht="14.25">
      <c r="A54" s="1186">
        <v>49</v>
      </c>
      <c r="B54" s="1186" t="s">
        <v>949</v>
      </c>
      <c r="C54" s="1351">
        <f>'Table 3 Levels 1&amp;2'!C56</f>
        <v>13951</v>
      </c>
      <c r="D54" s="1355">
        <f>'[13]1_MFP &amp; Funded Membership'!$U57</f>
        <v>14412</v>
      </c>
      <c r="E54" s="1352">
        <f t="shared" si="1"/>
        <v>461</v>
      </c>
      <c r="F54" s="1352">
        <f t="shared" si="2"/>
        <v>461</v>
      </c>
      <c r="G54" s="1352">
        <f t="shared" si="3"/>
        <v>0</v>
      </c>
      <c r="H54" s="1356">
        <f>'Table 3 Levels 1&amp;2'!AL56</f>
        <v>4869.8026620686687</v>
      </c>
      <c r="I54" s="1356">
        <f>'Table 4 Level 3'!P54</f>
        <v>574.43999999999994</v>
      </c>
      <c r="J54" s="1356">
        <f t="shared" si="4"/>
        <v>5444.2426620686683</v>
      </c>
      <c r="K54" s="1354">
        <f t="shared" si="5"/>
        <v>2509795.8672136562</v>
      </c>
      <c r="L54" s="1365">
        <f t="shared" si="6"/>
        <v>2509795.8672136562</v>
      </c>
      <c r="M54" s="1365">
        <f t="shared" si="7"/>
        <v>0</v>
      </c>
    </row>
    <row r="55" spans="1:13" ht="14.25">
      <c r="A55" s="1192">
        <v>50</v>
      </c>
      <c r="B55" s="1192" t="s">
        <v>950</v>
      </c>
      <c r="C55" s="1357">
        <f>'Table 3 Levels 1&amp;2'!C57</f>
        <v>8111</v>
      </c>
      <c r="D55" s="1358">
        <f>'[13]1_MFP &amp; Funded Membership'!$U58</f>
        <v>8105</v>
      </c>
      <c r="E55" s="1359">
        <f t="shared" si="1"/>
        <v>-6</v>
      </c>
      <c r="F55" s="1359">
        <f t="shared" si="2"/>
        <v>0</v>
      </c>
      <c r="G55" s="1359">
        <f t="shared" si="3"/>
        <v>-6</v>
      </c>
      <c r="H55" s="1361">
        <f>'Table 3 Levels 1&amp;2'!AL57</f>
        <v>5066.3682883964984</v>
      </c>
      <c r="I55" s="1361">
        <f>'Table 4 Level 3'!P55</f>
        <v>634.46</v>
      </c>
      <c r="J55" s="1361">
        <f t="shared" si="4"/>
        <v>5700.8282883964985</v>
      </c>
      <c r="K55" s="1362">
        <f t="shared" si="5"/>
        <v>-34204.969730378987</v>
      </c>
      <c r="L55" s="1366">
        <f t="shared" si="6"/>
        <v>0</v>
      </c>
      <c r="M55" s="1366">
        <f t="shared" si="7"/>
        <v>-34204.969730378987</v>
      </c>
    </row>
    <row r="56" spans="1:13" ht="14.25">
      <c r="A56" s="1186">
        <v>51</v>
      </c>
      <c r="B56" s="1186" t="s">
        <v>951</v>
      </c>
      <c r="C56" s="1351">
        <f>'Table 3 Levels 1&amp;2'!C58</f>
        <v>8991</v>
      </c>
      <c r="D56" s="1351">
        <f>'[13]1_MFP &amp; Funded Membership'!$U59</f>
        <v>9106</v>
      </c>
      <c r="E56" s="1352">
        <f t="shared" si="1"/>
        <v>115</v>
      </c>
      <c r="F56" s="1352">
        <f t="shared" si="2"/>
        <v>115</v>
      </c>
      <c r="G56" s="1352">
        <f t="shared" si="3"/>
        <v>0</v>
      </c>
      <c r="H56" s="1353">
        <f>'Table 3 Levels 1&amp;2'!AL58</f>
        <v>4538.5765423983985</v>
      </c>
      <c r="I56" s="1353">
        <f>'Table 4 Level 3'!P56</f>
        <v>706.66</v>
      </c>
      <c r="J56" s="1353">
        <f t="shared" si="4"/>
        <v>5245.2365423983983</v>
      </c>
      <c r="K56" s="1354">
        <f t="shared" si="5"/>
        <v>603202.20237581583</v>
      </c>
      <c r="L56" s="1365">
        <f t="shared" si="6"/>
        <v>603202.20237581583</v>
      </c>
      <c r="M56" s="1365">
        <f t="shared" si="7"/>
        <v>0</v>
      </c>
    </row>
    <row r="57" spans="1:13" ht="14.25">
      <c r="A57" s="1186">
        <v>52</v>
      </c>
      <c r="B57" s="1186" t="s">
        <v>667</v>
      </c>
      <c r="C57" s="1351">
        <f>'Table 3 Levels 1&amp;2'!C59-1</f>
        <v>36177</v>
      </c>
      <c r="D57" s="1351">
        <f>'[13]1_MFP &amp; Funded Membership'!$U60</f>
        <v>36605</v>
      </c>
      <c r="E57" s="1352">
        <f t="shared" si="1"/>
        <v>428</v>
      </c>
      <c r="F57" s="1352">
        <f t="shared" si="2"/>
        <v>428</v>
      </c>
      <c r="G57" s="1352">
        <f t="shared" si="3"/>
        <v>0</v>
      </c>
      <c r="H57" s="1353">
        <f>'Table 3 Levels 1&amp;2'!AL59</f>
        <v>4986.190392708143</v>
      </c>
      <c r="I57" s="1353">
        <f>'Table 4 Level 3'!P57</f>
        <v>658.37</v>
      </c>
      <c r="J57" s="1353">
        <f t="shared" si="4"/>
        <v>5644.5603927081429</v>
      </c>
      <c r="K57" s="1354">
        <f t="shared" si="5"/>
        <v>2415871.8480790854</v>
      </c>
      <c r="L57" s="1365">
        <f t="shared" si="6"/>
        <v>2415871.8480790854</v>
      </c>
      <c r="M57" s="1365">
        <f t="shared" si="7"/>
        <v>0</v>
      </c>
    </row>
    <row r="58" spans="1:13" ht="14.25">
      <c r="A58" s="1186">
        <v>53</v>
      </c>
      <c r="B58" s="1186" t="s">
        <v>952</v>
      </c>
      <c r="C58" s="1351">
        <f>'Table 3 Levels 1&amp;2'!C60</f>
        <v>18645</v>
      </c>
      <c r="D58" s="1355">
        <f>'[13]1_MFP &amp; Funded Membership'!$U61</f>
        <v>18927</v>
      </c>
      <c r="E58" s="1352">
        <f t="shared" si="1"/>
        <v>282</v>
      </c>
      <c r="F58" s="1352">
        <f t="shared" si="2"/>
        <v>282</v>
      </c>
      <c r="G58" s="1352">
        <f t="shared" si="3"/>
        <v>0</v>
      </c>
      <c r="H58" s="1356">
        <f>'Table 3 Levels 1&amp;2'!AL60</f>
        <v>4745.3141126436039</v>
      </c>
      <c r="I58" s="1356">
        <f>'Table 4 Level 3'!P58</f>
        <v>689.74</v>
      </c>
      <c r="J58" s="1356">
        <f t="shared" si="4"/>
        <v>5435.0541126436037</v>
      </c>
      <c r="K58" s="1354">
        <f t="shared" si="5"/>
        <v>1532685.2597654962</v>
      </c>
      <c r="L58" s="1365">
        <f t="shared" si="6"/>
        <v>1532685.2597654962</v>
      </c>
      <c r="M58" s="1365">
        <f t="shared" si="7"/>
        <v>0</v>
      </c>
    </row>
    <row r="59" spans="1:13" ht="14.25">
      <c r="A59" s="1186">
        <v>54</v>
      </c>
      <c r="B59" s="1186" t="s">
        <v>953</v>
      </c>
      <c r="C59" s="1351">
        <f>'Table 3 Levels 1&amp;2'!C61</f>
        <v>675</v>
      </c>
      <c r="D59" s="1355">
        <f>'[13]1_MFP &amp; Funded Membership'!$U62</f>
        <v>708</v>
      </c>
      <c r="E59" s="1352">
        <f t="shared" si="1"/>
        <v>33</v>
      </c>
      <c r="F59" s="1352">
        <f t="shared" si="2"/>
        <v>33</v>
      </c>
      <c r="G59" s="1352">
        <f t="shared" si="3"/>
        <v>0</v>
      </c>
      <c r="H59" s="1356">
        <f>'Table 3 Levels 1&amp;2'!AL61</f>
        <v>5654.2931072000001</v>
      </c>
      <c r="I59" s="1356">
        <f>'Table 4 Level 3'!P59</f>
        <v>951.45</v>
      </c>
      <c r="J59" s="1356">
        <f t="shared" si="4"/>
        <v>6605.7431071999999</v>
      </c>
      <c r="K59" s="1354">
        <f t="shared" si="5"/>
        <v>217989.52253759999</v>
      </c>
      <c r="L59" s="1365">
        <f t="shared" si="6"/>
        <v>217989.52253759999</v>
      </c>
      <c r="M59" s="1365">
        <f t="shared" si="7"/>
        <v>0</v>
      </c>
    </row>
    <row r="60" spans="1:13" ht="14.25">
      <c r="A60" s="1192">
        <v>55</v>
      </c>
      <c r="B60" s="1192" t="s">
        <v>954</v>
      </c>
      <c r="C60" s="1357">
        <f>'Table 3 Levels 1&amp;2'!C62</f>
        <v>17632</v>
      </c>
      <c r="D60" s="1358">
        <f>'[13]1_MFP &amp; Funded Membership'!$U63</f>
        <v>17756</v>
      </c>
      <c r="E60" s="1359">
        <f t="shared" si="1"/>
        <v>124</v>
      </c>
      <c r="F60" s="1359">
        <f t="shared" si="2"/>
        <v>124</v>
      </c>
      <c r="G60" s="1359">
        <f t="shared" si="3"/>
        <v>0</v>
      </c>
      <c r="H60" s="1361">
        <f>'Table 3 Levels 1&amp;2'!AL62</f>
        <v>4068.6090059276312</v>
      </c>
      <c r="I60" s="1361">
        <f>'Table 4 Level 3'!P60</f>
        <v>795.14</v>
      </c>
      <c r="J60" s="1361">
        <f t="shared" si="4"/>
        <v>4863.7490059276315</v>
      </c>
      <c r="K60" s="1362">
        <f t="shared" si="5"/>
        <v>603104.87673502625</v>
      </c>
      <c r="L60" s="1366">
        <f t="shared" si="6"/>
        <v>603104.87673502625</v>
      </c>
      <c r="M60" s="1366">
        <f t="shared" si="7"/>
        <v>0</v>
      </c>
    </row>
    <row r="61" spans="1:13" ht="14.25">
      <c r="A61" s="1186">
        <v>56</v>
      </c>
      <c r="B61" s="1186" t="s">
        <v>652</v>
      </c>
      <c r="C61" s="1351">
        <f>'Table 3 Levels 1&amp;2'!C63-293</f>
        <v>2528</v>
      </c>
      <c r="D61" s="1351">
        <f>'[13]1_MFP &amp; Funded Membership'!$U64</f>
        <v>2504</v>
      </c>
      <c r="E61" s="1352">
        <f t="shared" si="1"/>
        <v>-24</v>
      </c>
      <c r="F61" s="1352">
        <f t="shared" si="2"/>
        <v>0</v>
      </c>
      <c r="G61" s="1352">
        <f t="shared" si="3"/>
        <v>-24</v>
      </c>
      <c r="H61" s="1353">
        <f>'Table 3 Levels 1&amp;2'!AL63</f>
        <v>5099.6603048621055</v>
      </c>
      <c r="I61" s="1353">
        <f>'Table 4 Level 3'!P61</f>
        <v>614.66000000000008</v>
      </c>
      <c r="J61" s="1353">
        <f t="shared" si="4"/>
        <v>5714.3203048621053</v>
      </c>
      <c r="K61" s="1354">
        <f t="shared" si="5"/>
        <v>-137143.68731669051</v>
      </c>
      <c r="L61" s="1365">
        <f t="shared" si="6"/>
        <v>0</v>
      </c>
      <c r="M61" s="1365">
        <f t="shared" si="7"/>
        <v>-137143.68731669051</v>
      </c>
    </row>
    <row r="62" spans="1:13" ht="14.25">
      <c r="A62" s="1186">
        <v>57</v>
      </c>
      <c r="B62" s="1186" t="s">
        <v>955</v>
      </c>
      <c r="C62" s="1351">
        <f>'Table 3 Levels 1&amp;2'!C64</f>
        <v>8777</v>
      </c>
      <c r="D62" s="1351">
        <f>'[13]1_MFP &amp; Funded Membership'!$U65</f>
        <v>8859</v>
      </c>
      <c r="E62" s="1352">
        <f t="shared" si="1"/>
        <v>82</v>
      </c>
      <c r="F62" s="1352">
        <f t="shared" si="2"/>
        <v>82</v>
      </c>
      <c r="G62" s="1352">
        <f t="shared" si="3"/>
        <v>0</v>
      </c>
      <c r="H62" s="1353">
        <f>'Table 3 Levels 1&amp;2'!AL64</f>
        <v>4523.0865224363679</v>
      </c>
      <c r="I62" s="1353">
        <f>'Table 4 Level 3'!P62</f>
        <v>764.51</v>
      </c>
      <c r="J62" s="1353">
        <f t="shared" si="4"/>
        <v>5287.5965224363681</v>
      </c>
      <c r="K62" s="1354">
        <f t="shared" si="5"/>
        <v>433582.91483978217</v>
      </c>
      <c r="L62" s="1365">
        <f t="shared" si="6"/>
        <v>433582.91483978217</v>
      </c>
      <c r="M62" s="1365">
        <f t="shared" si="7"/>
        <v>0</v>
      </c>
    </row>
    <row r="63" spans="1:13" ht="14.25">
      <c r="A63" s="1186">
        <v>58</v>
      </c>
      <c r="B63" s="1186" t="s">
        <v>956</v>
      </c>
      <c r="C63" s="1351">
        <f>'Table 3 Levels 1&amp;2'!C65</f>
        <v>9266</v>
      </c>
      <c r="D63" s="1355">
        <f>'[13]1_MFP &amp; Funded Membership'!$U66</f>
        <v>9496</v>
      </c>
      <c r="E63" s="1352">
        <f t="shared" si="1"/>
        <v>230</v>
      </c>
      <c r="F63" s="1352">
        <f t="shared" si="2"/>
        <v>230</v>
      </c>
      <c r="G63" s="1352">
        <f t="shared" si="3"/>
        <v>0</v>
      </c>
      <c r="H63" s="1356">
        <f>'Table 3 Levels 1&amp;2'!AL65</f>
        <v>5284.9650337431467</v>
      </c>
      <c r="I63" s="1356">
        <f>'Table 4 Level 3'!P63</f>
        <v>697.04</v>
      </c>
      <c r="J63" s="1356">
        <f t="shared" si="4"/>
        <v>5982.0050337431467</v>
      </c>
      <c r="K63" s="1354">
        <f t="shared" si="5"/>
        <v>1375861.1577609237</v>
      </c>
      <c r="L63" s="1365">
        <f t="shared" si="6"/>
        <v>1375861.1577609237</v>
      </c>
      <c r="M63" s="1365">
        <f t="shared" si="7"/>
        <v>0</v>
      </c>
    </row>
    <row r="64" spans="1:13" ht="14.25">
      <c r="A64" s="1186">
        <v>59</v>
      </c>
      <c r="B64" s="1186" t="s">
        <v>957</v>
      </c>
      <c r="C64" s="1351">
        <f>'Table 3 Levels 1&amp;2'!C66</f>
        <v>5102</v>
      </c>
      <c r="D64" s="1355">
        <f>'[13]1_MFP &amp; Funded Membership'!$U67</f>
        <v>5170</v>
      </c>
      <c r="E64" s="1352">
        <f t="shared" si="1"/>
        <v>68</v>
      </c>
      <c r="F64" s="1352">
        <f t="shared" si="2"/>
        <v>68</v>
      </c>
      <c r="G64" s="1352">
        <f t="shared" si="3"/>
        <v>0</v>
      </c>
      <c r="H64" s="1356">
        <f>'Table 3 Levels 1&amp;2'!AL66</f>
        <v>6210.8635809266952</v>
      </c>
      <c r="I64" s="1356">
        <f>'Table 4 Level 3'!P64</f>
        <v>689.52</v>
      </c>
      <c r="J64" s="1356">
        <f t="shared" si="4"/>
        <v>6900.3835809266948</v>
      </c>
      <c r="K64" s="1354">
        <f t="shared" si="5"/>
        <v>469226.08350301522</v>
      </c>
      <c r="L64" s="1365">
        <f t="shared" si="6"/>
        <v>469226.08350301522</v>
      </c>
      <c r="M64" s="1365">
        <f t="shared" si="7"/>
        <v>0</v>
      </c>
    </row>
    <row r="65" spans="1:13" ht="14.25">
      <c r="A65" s="1192">
        <v>60</v>
      </c>
      <c r="B65" s="1192" t="s">
        <v>958</v>
      </c>
      <c r="C65" s="1357">
        <f>'Table 3 Levels 1&amp;2'!C67</f>
        <v>6725</v>
      </c>
      <c r="D65" s="1358">
        <f>'[13]1_MFP &amp; Funded Membership'!$U68</f>
        <v>6504</v>
      </c>
      <c r="E65" s="1359">
        <f t="shared" si="1"/>
        <v>-221</v>
      </c>
      <c r="F65" s="1359">
        <f t="shared" si="2"/>
        <v>0</v>
      </c>
      <c r="G65" s="1359">
        <f t="shared" si="3"/>
        <v>-221</v>
      </c>
      <c r="H65" s="1361">
        <f>'Table 3 Levels 1&amp;2'!AL67</f>
        <v>4913.8571659925656</v>
      </c>
      <c r="I65" s="1361">
        <f>'Table 4 Level 3'!P65</f>
        <v>594.04</v>
      </c>
      <c r="J65" s="1361">
        <f t="shared" si="4"/>
        <v>5507.8971659925655</v>
      </c>
      <c r="K65" s="1362">
        <f t="shared" si="5"/>
        <v>-1217245.2736843571</v>
      </c>
      <c r="L65" s="1366">
        <f t="shared" si="6"/>
        <v>0</v>
      </c>
      <c r="M65" s="1366">
        <f t="shared" si="7"/>
        <v>-1217245.2736843571</v>
      </c>
    </row>
    <row r="66" spans="1:13" ht="14.25">
      <c r="A66" s="1186">
        <v>61</v>
      </c>
      <c r="B66" s="1186" t="s">
        <v>959</v>
      </c>
      <c r="C66" s="1351">
        <f>'Table 3 Levels 1&amp;2'!C68</f>
        <v>3470</v>
      </c>
      <c r="D66" s="1351">
        <f>'[13]1_MFP &amp; Funded Membership'!$U69</f>
        <v>3574</v>
      </c>
      <c r="E66" s="1352">
        <f t="shared" si="1"/>
        <v>104</v>
      </c>
      <c r="F66" s="1352">
        <f t="shared" si="2"/>
        <v>104</v>
      </c>
      <c r="G66" s="1352">
        <f t="shared" si="3"/>
        <v>0</v>
      </c>
      <c r="H66" s="1353">
        <f>'Table 3 Levels 1&amp;2'!AL68</f>
        <v>2923.8505881664551</v>
      </c>
      <c r="I66" s="1353">
        <f>'Table 4 Level 3'!P66</f>
        <v>833.70999999999992</v>
      </c>
      <c r="J66" s="1353">
        <f t="shared" si="4"/>
        <v>3757.5605881664551</v>
      </c>
      <c r="K66" s="1354">
        <f t="shared" si="5"/>
        <v>390786.30116931134</v>
      </c>
      <c r="L66" s="1365">
        <f t="shared" si="6"/>
        <v>390786.30116931134</v>
      </c>
      <c r="M66" s="1365">
        <f t="shared" si="7"/>
        <v>0</v>
      </c>
    </row>
    <row r="67" spans="1:13" ht="14.25">
      <c r="A67" s="1186">
        <v>62</v>
      </c>
      <c r="B67" s="1186" t="s">
        <v>960</v>
      </c>
      <c r="C67" s="1351">
        <f>'Table 3 Levels 1&amp;2'!C69</f>
        <v>2122</v>
      </c>
      <c r="D67" s="1351">
        <f>'[13]1_MFP &amp; Funded Membership'!$U70</f>
        <v>2091</v>
      </c>
      <c r="E67" s="1352">
        <f t="shared" si="1"/>
        <v>-31</v>
      </c>
      <c r="F67" s="1352">
        <f t="shared" si="2"/>
        <v>0</v>
      </c>
      <c r="G67" s="1352">
        <f t="shared" si="3"/>
        <v>-31</v>
      </c>
      <c r="H67" s="1353">
        <f>'Table 3 Levels 1&amp;2'!AL69</f>
        <v>5502.7243622016967</v>
      </c>
      <c r="I67" s="1353">
        <f>'Table 4 Level 3'!P67</f>
        <v>516.08000000000004</v>
      </c>
      <c r="J67" s="1353">
        <f t="shared" si="4"/>
        <v>6018.8043622016967</v>
      </c>
      <c r="K67" s="1354">
        <f t="shared" si="5"/>
        <v>-186582.93522825261</v>
      </c>
      <c r="L67" s="1365">
        <f t="shared" si="6"/>
        <v>0</v>
      </c>
      <c r="M67" s="1365">
        <f t="shared" si="7"/>
        <v>-186582.93522825261</v>
      </c>
    </row>
    <row r="68" spans="1:13" ht="14.25">
      <c r="A68" s="1186">
        <v>63</v>
      </c>
      <c r="B68" s="1186" t="s">
        <v>961</v>
      </c>
      <c r="C68" s="1351">
        <f>'Table 3 Levels 1&amp;2'!C70</f>
        <v>2070</v>
      </c>
      <c r="D68" s="1355">
        <f>'[13]1_MFP &amp; Funded Membership'!$U71</f>
        <v>2034</v>
      </c>
      <c r="E68" s="1352">
        <f t="shared" si="1"/>
        <v>-36</v>
      </c>
      <c r="F68" s="1352">
        <f t="shared" si="2"/>
        <v>0</v>
      </c>
      <c r="G68" s="1352">
        <f t="shared" si="3"/>
        <v>-36</v>
      </c>
      <c r="H68" s="1356">
        <f>'Table 3 Levels 1&amp;2'!AL70</f>
        <v>4246.8337040463766</v>
      </c>
      <c r="I68" s="1356">
        <f>'Table 4 Level 3'!P68</f>
        <v>756.79</v>
      </c>
      <c r="J68" s="1356">
        <f t="shared" si="4"/>
        <v>5003.6237040463766</v>
      </c>
      <c r="K68" s="1354">
        <f t="shared" si="5"/>
        <v>-180130.45334566955</v>
      </c>
      <c r="L68" s="1365">
        <f t="shared" si="6"/>
        <v>0</v>
      </c>
      <c r="M68" s="1365">
        <f t="shared" si="7"/>
        <v>-180130.45334566955</v>
      </c>
    </row>
    <row r="69" spans="1:13" ht="14.25">
      <c r="A69" s="1186">
        <v>64</v>
      </c>
      <c r="B69" s="1186" t="s">
        <v>962</v>
      </c>
      <c r="C69" s="1351">
        <f>'Table 3 Levels 1&amp;2'!C71</f>
        <v>2429</v>
      </c>
      <c r="D69" s="1355">
        <f>'[13]1_MFP &amp; Funded Membership'!$U72</f>
        <v>2423</v>
      </c>
      <c r="E69" s="1352">
        <f t="shared" si="1"/>
        <v>-6</v>
      </c>
      <c r="F69" s="1352">
        <f t="shared" si="2"/>
        <v>0</v>
      </c>
      <c r="G69" s="1352">
        <f t="shared" si="3"/>
        <v>-6</v>
      </c>
      <c r="H69" s="1356">
        <f>'Table 3 Levels 1&amp;2'!AL71</f>
        <v>5856.9847407739808</v>
      </c>
      <c r="I69" s="1356">
        <f>'Table 4 Level 3'!P69</f>
        <v>592.66</v>
      </c>
      <c r="J69" s="1356">
        <f t="shared" si="4"/>
        <v>6449.6447407739806</v>
      </c>
      <c r="K69" s="1354">
        <f t="shared" si="5"/>
        <v>-38697.868444643886</v>
      </c>
      <c r="L69" s="1365">
        <f t="shared" si="6"/>
        <v>0</v>
      </c>
      <c r="M69" s="1365">
        <f t="shared" si="7"/>
        <v>-38697.868444643886</v>
      </c>
    </row>
    <row r="70" spans="1:13" ht="14.25">
      <c r="A70" s="1192">
        <v>65</v>
      </c>
      <c r="B70" s="1192" t="s">
        <v>963</v>
      </c>
      <c r="C70" s="1357">
        <f>'Table 3 Levels 1&amp;2'!C72</f>
        <v>8436</v>
      </c>
      <c r="D70" s="1358">
        <f>'[13]1_MFP &amp; Funded Membership'!$U73</f>
        <v>8463</v>
      </c>
      <c r="E70" s="1359">
        <f t="shared" si="1"/>
        <v>27</v>
      </c>
      <c r="F70" s="1359">
        <f t="shared" si="2"/>
        <v>27</v>
      </c>
      <c r="G70" s="1359">
        <f t="shared" si="3"/>
        <v>0</v>
      </c>
      <c r="H70" s="1361">
        <f>'Table 3 Levels 1&amp;2'!AL72</f>
        <v>4509.0445072868661</v>
      </c>
      <c r="I70" s="1361">
        <f>'Table 4 Level 3'!P70</f>
        <v>829.12</v>
      </c>
      <c r="J70" s="1361">
        <f t="shared" si="4"/>
        <v>5338.164507286866</v>
      </c>
      <c r="K70" s="1362">
        <f t="shared" si="5"/>
        <v>144130.44169674537</v>
      </c>
      <c r="L70" s="1366">
        <f t="shared" si="6"/>
        <v>144130.44169674537</v>
      </c>
      <c r="M70" s="1366">
        <f t="shared" si="7"/>
        <v>0</v>
      </c>
    </row>
    <row r="71" spans="1:13" ht="14.25">
      <c r="A71" s="1197">
        <v>66</v>
      </c>
      <c r="B71" s="1197" t="s">
        <v>964</v>
      </c>
      <c r="C71" s="1351">
        <f>'Table 3 Levels 1&amp;2'!C73</f>
        <v>2065</v>
      </c>
      <c r="D71" s="1355">
        <f>'[13]1_MFP &amp; Funded Membership'!$U74</f>
        <v>2069</v>
      </c>
      <c r="E71" s="1352">
        <f>D71-C71</f>
        <v>4</v>
      </c>
      <c r="F71" s="1352">
        <f>IF(E71&gt;0,E71,0)</f>
        <v>4</v>
      </c>
      <c r="G71" s="1352">
        <f>IF(E71&lt;0,E71,0)</f>
        <v>0</v>
      </c>
      <c r="H71" s="1356">
        <f>'Table 3 Levels 1&amp;2'!AL73</f>
        <v>6164.9261107602906</v>
      </c>
      <c r="I71" s="1356">
        <f>'Table 4 Level 3'!P71</f>
        <v>730.06</v>
      </c>
      <c r="J71" s="1356">
        <f>I71+H71</f>
        <v>6894.9861107602901</v>
      </c>
      <c r="K71" s="1354">
        <f>E71*J71</f>
        <v>27579.94444304116</v>
      </c>
      <c r="L71" s="1365">
        <f>IF(K71&gt;0,K71,0)</f>
        <v>27579.94444304116</v>
      </c>
      <c r="M71" s="1365">
        <f>IF(K71&lt;0,K71,0)</f>
        <v>0</v>
      </c>
    </row>
    <row r="72" spans="1:13" ht="14.25">
      <c r="A72" s="1186">
        <v>67</v>
      </c>
      <c r="B72" s="1186" t="s">
        <v>965</v>
      </c>
      <c r="C72" s="1351">
        <f>'Table 3 Levels 1&amp;2'!C74-2</f>
        <v>4868</v>
      </c>
      <c r="D72" s="1351">
        <f>'[13]1_MFP &amp; Funded Membership'!$U75</f>
        <v>5066</v>
      </c>
      <c r="E72" s="1352">
        <f>D72-C72</f>
        <v>198</v>
      </c>
      <c r="F72" s="1352">
        <f>IF(E72&gt;0,E72,0)</f>
        <v>198</v>
      </c>
      <c r="G72" s="1352">
        <f>IF(E72&lt;0,E72,0)</f>
        <v>0</v>
      </c>
      <c r="H72" s="1353">
        <f>'Table 3 Levels 1&amp;2'!AL74</f>
        <v>4997.7460750973305</v>
      </c>
      <c r="I72" s="1353">
        <f>'Table 4 Level 3'!P72</f>
        <v>715.61</v>
      </c>
      <c r="J72" s="1353">
        <f>I72+H72</f>
        <v>5713.3560750973302</v>
      </c>
      <c r="K72" s="1354">
        <f>E72*J72</f>
        <v>1131244.5028692714</v>
      </c>
      <c r="L72" s="1365">
        <f>IF(K72&gt;0,K72,0)</f>
        <v>1131244.5028692714</v>
      </c>
      <c r="M72" s="1365">
        <f>IF(K72&lt;0,K72,0)</f>
        <v>0</v>
      </c>
    </row>
    <row r="73" spans="1:13" ht="14.25">
      <c r="A73" s="1186">
        <v>68</v>
      </c>
      <c r="B73" s="1186" t="s">
        <v>966</v>
      </c>
      <c r="C73" s="1351">
        <f>'Table 3 Levels 1&amp;2'!C75-5</f>
        <v>1798</v>
      </c>
      <c r="D73" s="1351">
        <f>'[13]1_MFP &amp; Funded Membership'!$U76</f>
        <v>1734</v>
      </c>
      <c r="E73" s="1352">
        <f>D73-C73</f>
        <v>-64</v>
      </c>
      <c r="F73" s="1352">
        <f>IF(E73&gt;0,E73,0)</f>
        <v>0</v>
      </c>
      <c r="G73" s="1352">
        <f>IF(E73&lt;0,E73,0)</f>
        <v>-64</v>
      </c>
      <c r="H73" s="1353">
        <f>'Table 3 Levels 1&amp;2'!AL75</f>
        <v>5856.8933841064891</v>
      </c>
      <c r="I73" s="1353">
        <f>'Table 4 Level 3'!P73</f>
        <v>798.7</v>
      </c>
      <c r="J73" s="1353">
        <f>I73+H73</f>
        <v>6655.5933841064889</v>
      </c>
      <c r="K73" s="1354">
        <f>E73*J73</f>
        <v>-425957.97658281529</v>
      </c>
      <c r="L73" s="1365">
        <f>IF(K73&gt;0,K73,0)</f>
        <v>0</v>
      </c>
      <c r="M73" s="1365">
        <f>IF(K73&lt;0,K73,0)</f>
        <v>-425957.97658281529</v>
      </c>
    </row>
    <row r="74" spans="1:13" ht="14.25">
      <c r="A74" s="1213">
        <v>69</v>
      </c>
      <c r="B74" s="1199" t="s">
        <v>967</v>
      </c>
      <c r="C74" s="1351">
        <f>'Table 3 Levels 1&amp;2'!C76-2</f>
        <v>3889</v>
      </c>
      <c r="D74" s="1351">
        <f>'[13]1_MFP &amp; Funded Membership'!$U77</f>
        <v>3954</v>
      </c>
      <c r="E74" s="1352">
        <f>D74-C74</f>
        <v>65</v>
      </c>
      <c r="F74" s="1352">
        <f>IF(E74&gt;0,E74,0)</f>
        <v>65</v>
      </c>
      <c r="G74" s="1352">
        <f>IF(E74&lt;0,E74,0)</f>
        <v>0</v>
      </c>
      <c r="H74" s="1353">
        <f>'Table 3 Levels 1&amp;2'!AL76</f>
        <v>5493.3241993293232</v>
      </c>
      <c r="I74" s="1353">
        <f>'Table 4 Level 3'!P74</f>
        <v>705.67</v>
      </c>
      <c r="J74" s="1353">
        <f>I74+H74</f>
        <v>6198.9941993293232</v>
      </c>
      <c r="K74" s="1354">
        <f>E74*J74</f>
        <v>402934.62295640603</v>
      </c>
      <c r="L74" s="1365">
        <f>IF(K74&gt;0,K74,0)</f>
        <v>402934.62295640603</v>
      </c>
      <c r="M74" s="1365">
        <f>IF(K74&lt;0,K74,0)</f>
        <v>0</v>
      </c>
    </row>
    <row r="75" spans="1:13" s="1204" customFormat="1" ht="15.75" thickBot="1">
      <c r="A75" s="1369"/>
      <c r="B75" s="1201" t="s">
        <v>968</v>
      </c>
      <c r="C75" s="1370">
        <f>SUM(C6:C74)</f>
        <v>630205</v>
      </c>
      <c r="D75" s="1370">
        <f t="shared" ref="D75:M75" si="8">SUM(D6:D74)</f>
        <v>637161</v>
      </c>
      <c r="E75" s="1370">
        <f t="shared" si="8"/>
        <v>6956</v>
      </c>
      <c r="F75" s="1370">
        <f t="shared" si="8"/>
        <v>8207</v>
      </c>
      <c r="G75" s="1370">
        <f t="shared" si="8"/>
        <v>-1251</v>
      </c>
      <c r="H75" s="1371"/>
      <c r="I75" s="1371"/>
      <c r="J75" s="1371"/>
      <c r="K75" s="1371">
        <f t="shared" si="8"/>
        <v>33389802.403719958</v>
      </c>
      <c r="L75" s="1371">
        <f t="shared" si="8"/>
        <v>40328977.288041219</v>
      </c>
      <c r="M75" s="1371">
        <f t="shared" si="8"/>
        <v>-6939174.8843212668</v>
      </c>
    </row>
    <row r="76" spans="1:13" ht="6.75" customHeight="1" thickTop="1">
      <c r="A76" s="1205"/>
      <c r="B76" s="1206"/>
      <c r="C76" s="1372"/>
      <c r="D76" s="1372"/>
      <c r="E76" s="1372"/>
      <c r="F76" s="1372"/>
      <c r="G76" s="1372"/>
      <c r="H76" s="1373"/>
      <c r="I76" s="1373"/>
      <c r="J76" s="1373"/>
      <c r="K76" s="1373"/>
      <c r="L76" s="1373"/>
      <c r="M76" s="1373"/>
    </row>
    <row r="77" spans="1:13" ht="12.75" customHeight="1">
      <c r="A77" s="1209"/>
      <c r="B77" s="1209" t="s">
        <v>969</v>
      </c>
      <c r="C77" s="1374">
        <f>'Table 5A1 Labs NOCCA LSMSA'!B8</f>
        <v>1355</v>
      </c>
      <c r="D77" s="1374">
        <f>'[13]1_MFP &amp; Funded Membership'!$U$90</f>
        <v>1359</v>
      </c>
      <c r="E77" s="1375">
        <f>D77-C77</f>
        <v>4</v>
      </c>
      <c r="F77" s="1375">
        <f>IF(E77&gt;0,E77,0)</f>
        <v>4</v>
      </c>
      <c r="G77" s="1375">
        <f>IF(E77&lt;0,E77,0)</f>
        <v>0</v>
      </c>
      <c r="H77" s="1376">
        <f>'Table 5A1 Labs NOCCA LSMSA'!C8</f>
        <v>4330.434514547147</v>
      </c>
      <c r="I77" s="1376">
        <f>'Table 5A1 Labs NOCCA LSMSA'!E8</f>
        <v>605.97185873605952</v>
      </c>
      <c r="J77" s="1376">
        <f>H77+I77</f>
        <v>4936.4063732832064</v>
      </c>
      <c r="K77" s="1377">
        <f>E77*J77</f>
        <v>19745.625493132826</v>
      </c>
      <c r="L77" s="1376">
        <f>IF(K77&gt;0,K77,0)</f>
        <v>19745.625493132826</v>
      </c>
      <c r="M77" s="1376">
        <f>IF(K77&lt;0,K77,0)</f>
        <v>0</v>
      </c>
    </row>
    <row r="78" spans="1:13" ht="14.25">
      <c r="A78" s="1213"/>
      <c r="B78" s="1213" t="s">
        <v>970</v>
      </c>
      <c r="C78" s="1357">
        <f>'Table 5A1 Labs NOCCA LSMSA'!B9</f>
        <v>295</v>
      </c>
      <c r="D78" s="1357">
        <f>'[13]1_MFP &amp; Funded Membership'!$U$91</f>
        <v>289</v>
      </c>
      <c r="E78" s="1359">
        <f>D78-C78</f>
        <v>-6</v>
      </c>
      <c r="F78" s="1359">
        <f>IF(E78&gt;0,E78,0)</f>
        <v>0</v>
      </c>
      <c r="G78" s="1359">
        <f>IF(E78&lt;0,E78,0)</f>
        <v>-6</v>
      </c>
      <c r="H78" s="1360">
        <f>'Table 5A1 Labs NOCCA LSMSA'!C9</f>
        <v>4330.434514547147</v>
      </c>
      <c r="I78" s="1353">
        <f>'Table 5A1 Labs NOCCA LSMSA'!E9</f>
        <v>699.89832861189802</v>
      </c>
      <c r="J78" s="1360">
        <f>H78+I78</f>
        <v>5030.3328431590453</v>
      </c>
      <c r="K78" s="1362">
        <f>E78*J78</f>
        <v>-30181.997058954272</v>
      </c>
      <c r="L78" s="1360">
        <f>IF(K78&gt;0,K78,0)</f>
        <v>0</v>
      </c>
      <c r="M78" s="1360">
        <f>IF(K78&lt;0,K78,0)</f>
        <v>-30181.997058954272</v>
      </c>
    </row>
    <row r="79" spans="1:13" s="1204" customFormat="1" ht="15.75" thickBot="1">
      <c r="A79" s="1378"/>
      <c r="B79" s="1201" t="s">
        <v>971</v>
      </c>
      <c r="C79" s="1370">
        <f>SUM(C77:C78)</f>
        <v>1650</v>
      </c>
      <c r="D79" s="1370">
        <f t="shared" ref="D79:M79" si="9">SUM(D77:D78)</f>
        <v>1648</v>
      </c>
      <c r="E79" s="1370">
        <f t="shared" si="9"/>
        <v>-2</v>
      </c>
      <c r="F79" s="1370">
        <f t="shared" si="9"/>
        <v>4</v>
      </c>
      <c r="G79" s="1370">
        <f t="shared" si="9"/>
        <v>-6</v>
      </c>
      <c r="H79" s="1371"/>
      <c r="I79" s="1371"/>
      <c r="J79" s="1371"/>
      <c r="K79" s="1371">
        <f t="shared" si="9"/>
        <v>-10436.371565821446</v>
      </c>
      <c r="L79" s="1371">
        <f t="shared" si="9"/>
        <v>19745.625493132826</v>
      </c>
      <c r="M79" s="1371">
        <f t="shared" si="9"/>
        <v>-30181.997058954272</v>
      </c>
    </row>
    <row r="80" spans="1:13" s="1227" customFormat="1" ht="6.75" customHeight="1" thickTop="1">
      <c r="A80" s="1221"/>
      <c r="B80" s="1222"/>
      <c r="C80" s="1379"/>
      <c r="D80" s="1379"/>
      <c r="E80" s="1379"/>
      <c r="F80" s="1379"/>
      <c r="G80" s="1379"/>
      <c r="H80" s="1380"/>
      <c r="I80" s="1380"/>
      <c r="J80" s="1380"/>
      <c r="K80" s="1380"/>
      <c r="L80" s="1380"/>
      <c r="M80" s="1380"/>
    </row>
    <row r="81" spans="1:13" s="1227" customFormat="1" ht="14.25" customHeight="1">
      <c r="A81" s="1381"/>
      <c r="B81" s="1225" t="s">
        <v>972</v>
      </c>
      <c r="C81" s="1382">
        <f>'Table 5A1 Labs NOCCA LSMSA'!B19</f>
        <v>321</v>
      </c>
      <c r="D81" s="1382">
        <f>'[13]1_MFP &amp; Funded Membership'!$U$179</f>
        <v>314</v>
      </c>
      <c r="E81" s="1383">
        <f>D81-C81</f>
        <v>-7</v>
      </c>
      <c r="F81" s="1382">
        <f>IF(E81&gt;0,E81,0)</f>
        <v>0</v>
      </c>
      <c r="G81" s="1383">
        <f>IF(E81&lt;0,E81,0)</f>
        <v>-7</v>
      </c>
      <c r="H81" s="1384">
        <f>'Table 5A1 Labs NOCCA LSMSA'!C19</f>
        <v>4330.434514547147</v>
      </c>
      <c r="I81" s="1384">
        <f>'Table 5A1 Labs NOCCA LSMSA'!E19</f>
        <v>704.98328052506076</v>
      </c>
      <c r="J81" s="1384">
        <f>H81+I81</f>
        <v>5035.4177950722078</v>
      </c>
      <c r="K81" s="1384">
        <f>E81*J81</f>
        <v>-35247.924565505455</v>
      </c>
      <c r="L81" s="1384">
        <f>IF(K81&gt;0,K81,0)</f>
        <v>0</v>
      </c>
      <c r="M81" s="1384">
        <f>IF(K81&lt;0,K81,0)</f>
        <v>-35247.924565505455</v>
      </c>
    </row>
    <row r="82" spans="1:13" s="1227" customFormat="1" ht="18.75" customHeight="1" thickBot="1">
      <c r="A82" s="1385"/>
      <c r="B82" s="1229" t="s">
        <v>973</v>
      </c>
      <c r="C82" s="1386">
        <f>SUM(C81)</f>
        <v>321</v>
      </c>
      <c r="D82" s="1386">
        <f>SUM(D81)</f>
        <v>314</v>
      </c>
      <c r="E82" s="1387">
        <f>SUM(E81)</f>
        <v>-7</v>
      </c>
      <c r="F82" s="1386">
        <f>SUM(F81)</f>
        <v>0</v>
      </c>
      <c r="G82" s="1387">
        <f>SUM(G81)</f>
        <v>-7</v>
      </c>
      <c r="H82" s="1388"/>
      <c r="I82" s="1388"/>
      <c r="J82" s="1388"/>
      <c r="K82" s="1388">
        <f>SUM(K81)</f>
        <v>-35247.924565505455</v>
      </c>
      <c r="L82" s="1388">
        <f>SUM(L81)</f>
        <v>0</v>
      </c>
      <c r="M82" s="1388">
        <f>SUM(M81)</f>
        <v>-35247.924565505455</v>
      </c>
    </row>
    <row r="83" spans="1:13" s="1227" customFormat="1" ht="6.75" customHeight="1" thickTop="1">
      <c r="A83" s="1389"/>
      <c r="B83" s="1233"/>
      <c r="C83" s="1390"/>
      <c r="D83" s="1390"/>
      <c r="E83" s="1390"/>
      <c r="F83" s="1390"/>
      <c r="G83" s="1390"/>
      <c r="H83" s="1391"/>
      <c r="I83" s="1391"/>
      <c r="J83" s="1391"/>
      <c r="K83" s="1391"/>
      <c r="L83" s="1391"/>
      <c r="M83" s="1391"/>
    </row>
    <row r="84" spans="1:13" s="1227" customFormat="1" ht="14.25" customHeight="1">
      <c r="A84" s="1381"/>
      <c r="B84" s="1225" t="s">
        <v>974</v>
      </c>
      <c r="C84" s="1382">
        <f>'Table 5A1 Labs NOCCA LSMSA'!B20</f>
        <v>75</v>
      </c>
      <c r="D84" s="1382">
        <f>'[13]1_MFP &amp; Funded Membership'!$U$182</f>
        <v>56</v>
      </c>
      <c r="E84" s="1383">
        <f>D84-C84</f>
        <v>-19</v>
      </c>
      <c r="F84" s="1382">
        <f>IF(E84&gt;0,E84,0)</f>
        <v>0</v>
      </c>
      <c r="G84" s="1383">
        <f>IF(E84&lt;0,E84,0)</f>
        <v>-19</v>
      </c>
      <c r="H84" s="1384">
        <f>'Table 5A1 Labs NOCCA LSMSA'!C20</f>
        <v>4330.434514547147</v>
      </c>
      <c r="I84" s="1384">
        <f>'Table 5A1 Labs NOCCA LSMSA'!E20</f>
        <v>704.98328052506076</v>
      </c>
      <c r="J84" s="1384">
        <f>H84+I84</f>
        <v>5035.4177950722078</v>
      </c>
      <c r="K84" s="1384">
        <f>E84*J84</f>
        <v>-95672.938106371948</v>
      </c>
      <c r="L84" s="1384">
        <f>IF(K84&gt;0,K84,0)</f>
        <v>0</v>
      </c>
      <c r="M84" s="1384">
        <f>IF(K84&lt;0,K84,0)</f>
        <v>-95672.938106371948</v>
      </c>
    </row>
    <row r="85" spans="1:13" s="1227" customFormat="1" ht="18.75" customHeight="1" thickBot="1">
      <c r="A85" s="1385"/>
      <c r="B85" s="1229" t="s">
        <v>975</v>
      </c>
      <c r="C85" s="1386">
        <f>SUM(C84)</f>
        <v>75</v>
      </c>
      <c r="D85" s="1386">
        <f>SUM(D84)</f>
        <v>56</v>
      </c>
      <c r="E85" s="1387">
        <f>SUM(E84)</f>
        <v>-19</v>
      </c>
      <c r="F85" s="1386">
        <f>SUM(F84)</f>
        <v>0</v>
      </c>
      <c r="G85" s="1387">
        <f>SUM(G84)</f>
        <v>-19</v>
      </c>
      <c r="H85" s="1388"/>
      <c r="I85" s="1388"/>
      <c r="J85" s="1388"/>
      <c r="K85" s="1388">
        <f>SUM(K84)</f>
        <v>-95672.938106371948</v>
      </c>
      <c r="L85" s="1388">
        <f>SUM(L84)</f>
        <v>0</v>
      </c>
      <c r="M85" s="1388">
        <f>SUM(M84)</f>
        <v>-95672.938106371948</v>
      </c>
    </row>
    <row r="86" spans="1:13" s="1227" customFormat="1" ht="6.75" customHeight="1" thickTop="1">
      <c r="A86" s="1389"/>
      <c r="B86" s="1233"/>
      <c r="C86" s="1390"/>
      <c r="D86" s="1390"/>
      <c r="E86" s="1390"/>
      <c r="F86" s="1390"/>
      <c r="G86" s="1390"/>
      <c r="H86" s="1391"/>
      <c r="I86" s="1391"/>
      <c r="J86" s="1391"/>
      <c r="K86" s="1391"/>
      <c r="L86" s="1391"/>
      <c r="M86" s="1391"/>
    </row>
    <row r="87" spans="1:13" s="1227" customFormat="1" ht="14.25" customHeight="1">
      <c r="A87" s="1392" t="s">
        <v>728</v>
      </c>
      <c r="B87" s="1235" t="s">
        <v>976</v>
      </c>
      <c r="C87" s="1393">
        <f>'Table 5D - Legacy Type 2'!C10</f>
        <v>321</v>
      </c>
      <c r="D87" s="1393">
        <f>'[13]1_MFP &amp; Funded Membership'!$U104</f>
        <v>341</v>
      </c>
      <c r="E87" s="1394">
        <f t="shared" ref="E87:E94" si="10">D87-C87</f>
        <v>20</v>
      </c>
      <c r="F87" s="1393">
        <f t="shared" ref="F87:F94" si="11">IF(E87&gt;0,E87,0)</f>
        <v>20</v>
      </c>
      <c r="G87" s="1394">
        <f t="shared" ref="G87:G94" si="12">IF(E87&lt;0,E87,0)</f>
        <v>0</v>
      </c>
      <c r="H87" s="1395">
        <f>'Table 5D - Legacy Type 2'!D10</f>
        <v>9184.0445072868661</v>
      </c>
      <c r="I87" s="1395">
        <f>'Table 5D - Legacy Type 2'!F10</f>
        <v>716.29552188552179</v>
      </c>
      <c r="J87" s="1395">
        <f t="shared" ref="J87:J94" si="13">H87+I87</f>
        <v>9900.3400291723883</v>
      </c>
      <c r="K87" s="1395">
        <f t="shared" ref="K87:K94" si="14">E87*J87</f>
        <v>198006.80058344777</v>
      </c>
      <c r="L87" s="1395">
        <f t="shared" ref="L87:L98" si="15">IF(K87&gt;0,K87,0)</f>
        <v>198006.80058344777</v>
      </c>
      <c r="M87" s="1395">
        <f t="shared" ref="M87:M98" si="16">IF(K87&lt;0,K87,0)</f>
        <v>0</v>
      </c>
    </row>
    <row r="88" spans="1:13" s="1227" customFormat="1" ht="14.25" customHeight="1">
      <c r="A88" s="1396" t="s">
        <v>730</v>
      </c>
      <c r="B88" s="1239" t="s">
        <v>977</v>
      </c>
      <c r="C88" s="1397">
        <f>'Table 5D - Legacy Type 2'!C11</f>
        <v>368</v>
      </c>
      <c r="D88" s="1398">
        <f>'[13]1_MFP &amp; Funded Membership'!$U105</f>
        <v>367</v>
      </c>
      <c r="E88" s="1399">
        <f t="shared" si="10"/>
        <v>-1</v>
      </c>
      <c r="F88" s="1397">
        <f t="shared" si="11"/>
        <v>0</v>
      </c>
      <c r="G88" s="1399">
        <f t="shared" si="12"/>
        <v>-1</v>
      </c>
      <c r="H88" s="1400">
        <f>'Table 5D - Legacy Type 2'!D11</f>
        <v>8580.5765423983976</v>
      </c>
      <c r="I88" s="1400">
        <f>'Table 5D - Legacy Type 2'!F11</f>
        <v>598.40363440561384</v>
      </c>
      <c r="J88" s="1400">
        <f t="shared" si="13"/>
        <v>9178.9801768040106</v>
      </c>
      <c r="K88" s="1400">
        <f t="shared" si="14"/>
        <v>-9178.9801768040106</v>
      </c>
      <c r="L88" s="1400">
        <f t="shared" si="15"/>
        <v>0</v>
      </c>
      <c r="M88" s="1400">
        <f t="shared" si="16"/>
        <v>-9178.9801768040106</v>
      </c>
    </row>
    <row r="89" spans="1:13" s="1227" customFormat="1" ht="14.25" customHeight="1">
      <c r="A89" s="1396" t="s">
        <v>732</v>
      </c>
      <c r="B89" s="1240" t="s">
        <v>978</v>
      </c>
      <c r="C89" s="1397">
        <f>'Table 5D - Legacy Type 2'!C12</f>
        <v>517</v>
      </c>
      <c r="D89" s="1398">
        <f>'[13]1_MFP &amp; Funded Membership'!$U106</f>
        <v>627</v>
      </c>
      <c r="E89" s="1399">
        <f t="shared" si="10"/>
        <v>110</v>
      </c>
      <c r="F89" s="1397">
        <f t="shared" si="11"/>
        <v>110</v>
      </c>
      <c r="G89" s="1399">
        <f t="shared" si="12"/>
        <v>0</v>
      </c>
      <c r="H89" s="1400">
        <f>'Table 5D - Legacy Type 2'!D12</f>
        <v>7459.0270959716217</v>
      </c>
      <c r="I89" s="1400">
        <f>'Table 5D - Legacy Type 2'!F12</f>
        <v>714.81015756302509</v>
      </c>
      <c r="J89" s="1400">
        <f t="shared" si="13"/>
        <v>8173.8372535346471</v>
      </c>
      <c r="K89" s="1400">
        <f t="shared" si="14"/>
        <v>899122.09788881114</v>
      </c>
      <c r="L89" s="1400">
        <f t="shared" si="15"/>
        <v>899122.09788881114</v>
      </c>
      <c r="M89" s="1400">
        <f t="shared" si="16"/>
        <v>0</v>
      </c>
    </row>
    <row r="90" spans="1:13" s="1227" customFormat="1" ht="14.25" customHeight="1">
      <c r="A90" s="1396" t="s">
        <v>734</v>
      </c>
      <c r="B90" s="1239" t="s">
        <v>979</v>
      </c>
      <c r="C90" s="1397">
        <f>'Table 5D - Legacy Type 2'!C13</f>
        <v>683</v>
      </c>
      <c r="D90" s="1398">
        <f>'[13]1_MFP &amp; Funded Membership'!$U107</f>
        <v>697</v>
      </c>
      <c r="E90" s="1399">
        <f t="shared" si="10"/>
        <v>14</v>
      </c>
      <c r="F90" s="1397">
        <f t="shared" si="11"/>
        <v>14</v>
      </c>
      <c r="G90" s="1399">
        <f t="shared" si="12"/>
        <v>0</v>
      </c>
      <c r="H90" s="1400">
        <f>'Table 5D - Legacy Type 2'!D13</f>
        <v>6169.7330578848678</v>
      </c>
      <c r="I90" s="1400">
        <f>'Table 5D - Legacy Type 2'!F13</f>
        <v>536.12413544332276</v>
      </c>
      <c r="J90" s="1400">
        <f t="shared" si="13"/>
        <v>6705.857193328191</v>
      </c>
      <c r="K90" s="1400">
        <f t="shared" si="14"/>
        <v>93882.00070659467</v>
      </c>
      <c r="L90" s="1400">
        <f t="shared" si="15"/>
        <v>93882.00070659467</v>
      </c>
      <c r="M90" s="1400">
        <f t="shared" si="16"/>
        <v>0</v>
      </c>
    </row>
    <row r="91" spans="1:13" s="1227" customFormat="1" ht="14.25" customHeight="1">
      <c r="A91" s="1396" t="s">
        <v>736</v>
      </c>
      <c r="B91" s="1239" t="s">
        <v>980</v>
      </c>
      <c r="C91" s="1397">
        <f>'Table 5D - Legacy Type 2'!C14</f>
        <v>623</v>
      </c>
      <c r="D91" s="1398">
        <f>'[13]1_MFP &amp; Funded Membership'!$U108</f>
        <v>653</v>
      </c>
      <c r="E91" s="1399">
        <f t="shared" si="10"/>
        <v>30</v>
      </c>
      <c r="F91" s="1397">
        <f t="shared" si="11"/>
        <v>30</v>
      </c>
      <c r="G91" s="1399">
        <f t="shared" si="12"/>
        <v>0</v>
      </c>
      <c r="H91" s="1400">
        <f>'Table 5D - Legacy Type 2'!D14</f>
        <v>8489.0856550306853</v>
      </c>
      <c r="I91" s="1400">
        <f>'Table 5D - Legacy Type 2'!F14</f>
        <v>527.02354414153262</v>
      </c>
      <c r="J91" s="1400">
        <f t="shared" si="13"/>
        <v>9016.1091991722187</v>
      </c>
      <c r="K91" s="1400">
        <f t="shared" si="14"/>
        <v>270483.27597516659</v>
      </c>
      <c r="L91" s="1400">
        <f t="shared" si="15"/>
        <v>270483.27597516659</v>
      </c>
      <c r="M91" s="1400">
        <f t="shared" si="16"/>
        <v>0</v>
      </c>
    </row>
    <row r="92" spans="1:13" s="1227" customFormat="1" ht="14.25" customHeight="1">
      <c r="A92" s="1396" t="s">
        <v>738</v>
      </c>
      <c r="B92" s="1239" t="s">
        <v>981</v>
      </c>
      <c r="C92" s="1397">
        <f>'Table 5D - Legacy Type 2'!C15</f>
        <v>918</v>
      </c>
      <c r="D92" s="1398">
        <f>'[13]1_MFP &amp; Funded Membership'!$U109</f>
        <v>942</v>
      </c>
      <c r="E92" s="1399">
        <f t="shared" si="10"/>
        <v>24</v>
      </c>
      <c r="F92" s="1397">
        <f t="shared" si="11"/>
        <v>24</v>
      </c>
      <c r="G92" s="1399">
        <f t="shared" si="12"/>
        <v>0</v>
      </c>
      <c r="H92" s="1400">
        <f>'Table 5D - Legacy Type 2'!D15</f>
        <v>13820.558275214593</v>
      </c>
      <c r="I92" s="1400">
        <f>'Table 5D - Legacy Type 2'!F15</f>
        <v>788.90242015830813</v>
      </c>
      <c r="J92" s="1400">
        <f t="shared" si="13"/>
        <v>14609.460695372902</v>
      </c>
      <c r="K92" s="1400">
        <f t="shared" si="14"/>
        <v>350627.05668894964</v>
      </c>
      <c r="L92" s="1400">
        <f t="shared" si="15"/>
        <v>350627.05668894964</v>
      </c>
      <c r="M92" s="1400">
        <f t="shared" si="16"/>
        <v>0</v>
      </c>
    </row>
    <row r="93" spans="1:13" s="1227" customFormat="1" ht="14.25" customHeight="1">
      <c r="A93" s="1396" t="s">
        <v>740</v>
      </c>
      <c r="B93" s="1239" t="s">
        <v>982</v>
      </c>
      <c r="C93" s="1397">
        <f>'Table 5D - Legacy Type 2'!C16</f>
        <v>431</v>
      </c>
      <c r="D93" s="1398">
        <f>'[13]1_MFP &amp; Funded Membership'!$U110</f>
        <v>395</v>
      </c>
      <c r="E93" s="1399">
        <f t="shared" si="10"/>
        <v>-36</v>
      </c>
      <c r="F93" s="1397">
        <f t="shared" si="11"/>
        <v>0</v>
      </c>
      <c r="G93" s="1399">
        <f t="shared" si="12"/>
        <v>-36</v>
      </c>
      <c r="H93" s="1400">
        <f>'Table 5D - Legacy Type 2'!D16</f>
        <v>8103.0270959716217</v>
      </c>
      <c r="I93" s="1400">
        <f>'Table 5D - Legacy Type 2'!F16</f>
        <v>705.7643831168831</v>
      </c>
      <c r="J93" s="1400">
        <f t="shared" si="13"/>
        <v>8808.7914790885043</v>
      </c>
      <c r="K93" s="1400">
        <f t="shared" si="14"/>
        <v>-317116.49324718618</v>
      </c>
      <c r="L93" s="1400">
        <f t="shared" si="15"/>
        <v>0</v>
      </c>
      <c r="M93" s="1400">
        <f t="shared" si="16"/>
        <v>-317116.49324718618</v>
      </c>
    </row>
    <row r="94" spans="1:13" s="1227" customFormat="1" ht="14.25" customHeight="1">
      <c r="A94" s="1401" t="s">
        <v>742</v>
      </c>
      <c r="B94" s="1247" t="s">
        <v>983</v>
      </c>
      <c r="C94" s="1402">
        <f>'Table 5D - Legacy Type 2'!C17</f>
        <v>105</v>
      </c>
      <c r="D94" s="1403">
        <f>'[13]1_MFP &amp; Funded Membership'!$U111</f>
        <v>103</v>
      </c>
      <c r="E94" s="1404">
        <f t="shared" si="10"/>
        <v>-2</v>
      </c>
      <c r="F94" s="1402">
        <f t="shared" si="11"/>
        <v>0</v>
      </c>
      <c r="G94" s="1404">
        <f t="shared" si="12"/>
        <v>-2</v>
      </c>
      <c r="H94" s="1405">
        <f>'Table 5D - Legacy Type 2'!D17</f>
        <v>8609.8161124471389</v>
      </c>
      <c r="I94" s="1405">
        <f>'Table 5D - Legacy Type 2'!F17</f>
        <v>659.21180998497243</v>
      </c>
      <c r="J94" s="1405">
        <f t="shared" si="13"/>
        <v>9269.0279224321112</v>
      </c>
      <c r="K94" s="1405">
        <f t="shared" si="14"/>
        <v>-18538.055844864222</v>
      </c>
      <c r="L94" s="1405">
        <f t="shared" si="15"/>
        <v>0</v>
      </c>
      <c r="M94" s="1405">
        <f t="shared" si="16"/>
        <v>-18538.055844864222</v>
      </c>
    </row>
    <row r="95" spans="1:13" s="1227" customFormat="1" ht="18.75" customHeight="1" thickBot="1">
      <c r="A95" s="1396"/>
      <c r="B95" s="1248" t="s">
        <v>984</v>
      </c>
      <c r="C95" s="1406">
        <f>SUM(C87:C94)</f>
        <v>3966</v>
      </c>
      <c r="D95" s="1406">
        <f>SUM(D87:D94)</f>
        <v>4125</v>
      </c>
      <c r="E95" s="1407">
        <f>SUM(E87:E94)</f>
        <v>159</v>
      </c>
      <c r="F95" s="1406">
        <f>SUM(F87:F94)</f>
        <v>198</v>
      </c>
      <c r="G95" s="1407">
        <f>SUM(G87:G94)</f>
        <v>-39</v>
      </c>
      <c r="H95" s="1408"/>
      <c r="I95" s="1408"/>
      <c r="J95" s="1408"/>
      <c r="K95" s="1408">
        <f>SUM(K87:K94)</f>
        <v>1467287.7025741155</v>
      </c>
      <c r="L95" s="1408">
        <f>SUM(L87:L94)</f>
        <v>1812121.2318429698</v>
      </c>
      <c r="M95" s="1408">
        <f>SUM(M87:M94)</f>
        <v>-344833.52926885441</v>
      </c>
    </row>
    <row r="96" spans="1:13" s="1227" customFormat="1" ht="7.5" customHeight="1" thickTop="1">
      <c r="A96" s="1409"/>
      <c r="B96" s="1251"/>
      <c r="C96" s="1410"/>
      <c r="D96" s="1410"/>
      <c r="E96" s="1411"/>
      <c r="F96" s="1410"/>
      <c r="G96" s="1411"/>
      <c r="H96" s="1412"/>
      <c r="I96" s="1412"/>
      <c r="J96" s="1412"/>
      <c r="K96" s="1412"/>
      <c r="L96" s="1412"/>
      <c r="M96" s="1411"/>
    </row>
    <row r="97" spans="1:13" s="1227" customFormat="1" ht="18.75" customHeight="1">
      <c r="A97" s="1392"/>
      <c r="B97" s="1252" t="s">
        <v>985</v>
      </c>
      <c r="C97" s="1393">
        <f>'Table 5C2 - LA Virtual Admy '!C78</f>
        <v>1100</v>
      </c>
      <c r="D97" s="1393">
        <f>'Oct midyear adj_LA virtual'!D75</f>
        <v>1246</v>
      </c>
      <c r="E97" s="1394">
        <f t="shared" ref="E97:E98" si="17">D97-C97</f>
        <v>146</v>
      </c>
      <c r="F97" s="1393">
        <f t="shared" ref="F97:F98" si="18">IF(E97&gt;0,E97,0)</f>
        <v>146</v>
      </c>
      <c r="G97" s="1394">
        <f t="shared" ref="G97:G98" si="19">IF(E97&lt;0,E97,0)</f>
        <v>0</v>
      </c>
      <c r="H97" s="1395"/>
      <c r="I97" s="1395"/>
      <c r="J97" s="1395"/>
      <c r="K97" s="1413">
        <f>'Oct midyear adj_LA virtual'!K75</f>
        <v>651135.80705186899</v>
      </c>
      <c r="L97" s="1395">
        <f t="shared" si="15"/>
        <v>651135.80705186899</v>
      </c>
      <c r="M97" s="1395">
        <f t="shared" si="16"/>
        <v>0</v>
      </c>
    </row>
    <row r="98" spans="1:13" s="1227" customFormat="1" ht="18.75" customHeight="1">
      <c r="A98" s="1401">
        <v>345</v>
      </c>
      <c r="B98" s="1253" t="s">
        <v>986</v>
      </c>
      <c r="C98" s="1402">
        <f>'Table 5C3 - LA Connections  '!C78</f>
        <v>600</v>
      </c>
      <c r="D98" s="1402">
        <f>'Oct midyear adj_Connections'!D75</f>
        <v>597</v>
      </c>
      <c r="E98" s="1404">
        <f t="shared" si="17"/>
        <v>-3</v>
      </c>
      <c r="F98" s="1402">
        <f t="shared" si="18"/>
        <v>0</v>
      </c>
      <c r="G98" s="1404">
        <f t="shared" si="19"/>
        <v>-3</v>
      </c>
      <c r="H98" s="1405"/>
      <c r="I98" s="1405"/>
      <c r="J98" s="1405"/>
      <c r="K98" s="1405">
        <f>'Oct midyear adj_Connections'!K75</f>
        <v>1934.7349524267665</v>
      </c>
      <c r="L98" s="1405">
        <f t="shared" si="15"/>
        <v>1934.7349524267665</v>
      </c>
      <c r="M98" s="1405">
        <f t="shared" si="16"/>
        <v>0</v>
      </c>
    </row>
    <row r="99" spans="1:13" s="1227" customFormat="1" ht="18.75" customHeight="1" thickBot="1">
      <c r="A99" s="1414"/>
      <c r="B99" s="1229" t="s">
        <v>987</v>
      </c>
      <c r="C99" s="1386">
        <f>SUM(C97:C98)</f>
        <v>1700</v>
      </c>
      <c r="D99" s="1386">
        <f>SUM(D97:D98)</f>
        <v>1843</v>
      </c>
      <c r="E99" s="1387">
        <f>SUM(E97:E98)</f>
        <v>143</v>
      </c>
      <c r="F99" s="1386">
        <f>SUM(F97:F98)</f>
        <v>146</v>
      </c>
      <c r="G99" s="1387">
        <f>SUM(G97:G98)</f>
        <v>-3</v>
      </c>
      <c r="H99" s="1388"/>
      <c r="I99" s="1388"/>
      <c r="J99" s="1388"/>
      <c r="K99" s="1388">
        <f>SUM(K97:K98)</f>
        <v>653070.54200429574</v>
      </c>
      <c r="L99" s="1388">
        <f>SUM(L97:L98)</f>
        <v>653070.54200429574</v>
      </c>
      <c r="M99" s="1388">
        <f>SUM(M97:M98)</f>
        <v>0</v>
      </c>
    </row>
    <row r="100" spans="1:13" ht="6.75" customHeight="1" thickTop="1">
      <c r="A100" s="1415"/>
      <c r="B100" s="1256"/>
      <c r="C100" s="1416"/>
      <c r="D100" s="1416"/>
      <c r="E100" s="1416"/>
      <c r="F100" s="1416"/>
      <c r="G100" s="1416"/>
      <c r="H100" s="1417"/>
      <c r="I100" s="1417"/>
      <c r="J100" s="1417"/>
      <c r="K100" s="1417"/>
      <c r="L100" s="1417"/>
      <c r="M100" s="1417"/>
    </row>
    <row r="101" spans="1:13" s="1227" customFormat="1" ht="14.25" customHeight="1">
      <c r="A101" s="1418"/>
      <c r="B101" s="1258" t="s">
        <v>639</v>
      </c>
      <c r="C101" s="1419">
        <f>'Table 5C1 - Type 2s'!B6</f>
        <v>164</v>
      </c>
      <c r="D101" s="1419">
        <f>[14]Sheet1!$H$21</f>
        <v>204</v>
      </c>
      <c r="E101" s="1420">
        <f>D101-C101</f>
        <v>40</v>
      </c>
      <c r="F101" s="1420">
        <f>IF(E101&gt;0,E101,0)</f>
        <v>40</v>
      </c>
      <c r="G101" s="1420">
        <f>IF(E101&lt;0,E101,0)</f>
        <v>0</v>
      </c>
      <c r="H101" s="1365">
        <f>'Table 5C1 - Type 2s'!C6</f>
        <v>3266.8023094143459</v>
      </c>
      <c r="I101" s="1365">
        <f>'Table 5C1 - Type 2s'!E6</f>
        <v>801.47762416806802</v>
      </c>
      <c r="J101" s="1365">
        <f>H101+I101</f>
        <v>4068.2799335824138</v>
      </c>
      <c r="K101" s="1354">
        <f>E101*J101</f>
        <v>162731.19734329655</v>
      </c>
      <c r="L101" s="1365">
        <f>IF(K101&gt;0,K101,0)</f>
        <v>162731.19734329655</v>
      </c>
      <c r="M101" s="1365">
        <f>IF(K101&lt;0,K101,0)</f>
        <v>0</v>
      </c>
    </row>
    <row r="102" spans="1:13" s="1227" customFormat="1" ht="14.25" customHeight="1">
      <c r="A102" s="1418"/>
      <c r="B102" s="1258" t="s">
        <v>641</v>
      </c>
      <c r="C102" s="1419">
        <f>'Table 5C1 - Type 2s'!B8</f>
        <v>2</v>
      </c>
      <c r="D102" s="1419">
        <f>[14]Sheet1!$H$71</f>
        <v>2</v>
      </c>
      <c r="E102" s="1420">
        <f>D102-C102</f>
        <v>0</v>
      </c>
      <c r="F102" s="1420">
        <f>IF(E102&gt;0,E102,0)</f>
        <v>0</v>
      </c>
      <c r="G102" s="1420">
        <f>IF(E102&lt;0,E102,0)</f>
        <v>0</v>
      </c>
      <c r="H102" s="1365">
        <f>'Table 5C1 - Type 2s'!C8</f>
        <v>4997.7460750973305</v>
      </c>
      <c r="I102" s="1365">
        <f>'Table 5C1 - Type 2s'!E8</f>
        <v>715.61</v>
      </c>
      <c r="J102" s="1365">
        <f>H102+I102</f>
        <v>5713.3560750973302</v>
      </c>
      <c r="K102" s="1354">
        <f>E102*J102</f>
        <v>0</v>
      </c>
      <c r="L102" s="1365">
        <f>IF(K102&gt;0,K102,0)</f>
        <v>0</v>
      </c>
      <c r="M102" s="1365">
        <f>IF(K102&lt;0,K102,0)</f>
        <v>0</v>
      </c>
    </row>
    <row r="103" spans="1:13" s="1227" customFormat="1" ht="14.25" customHeight="1">
      <c r="A103" s="1418"/>
      <c r="B103" s="1258" t="s">
        <v>642</v>
      </c>
      <c r="C103" s="1419">
        <f>'Table 5C1 - Type 2s'!B9</f>
        <v>5</v>
      </c>
      <c r="D103" s="1419">
        <f>[14]Sheet1!$H$72</f>
        <v>2</v>
      </c>
      <c r="E103" s="1420">
        <f>D103-C103</f>
        <v>-3</v>
      </c>
      <c r="F103" s="1420">
        <f>IF(E103&gt;0,E103,0)</f>
        <v>0</v>
      </c>
      <c r="G103" s="1420">
        <f>IF(E103&lt;0,E103,0)</f>
        <v>-3</v>
      </c>
      <c r="H103" s="1365">
        <f>'Table 5C1 - Type 2s'!C9</f>
        <v>5856.8933841064891</v>
      </c>
      <c r="I103" s="1365">
        <f>'Table 5C1 - Type 2s'!E9</f>
        <v>798.7</v>
      </c>
      <c r="J103" s="1365">
        <f>H103+I103</f>
        <v>6655.5933841064889</v>
      </c>
      <c r="K103" s="1354">
        <f>E103*J103</f>
        <v>-19966.780152319465</v>
      </c>
      <c r="L103" s="1365">
        <f>IF(K103&gt;0,K103,0)</f>
        <v>0</v>
      </c>
      <c r="M103" s="1365">
        <f>IF(K103&lt;0,K103,0)</f>
        <v>-19966.780152319465</v>
      </c>
    </row>
    <row r="104" spans="1:13" s="1227" customFormat="1" ht="14.25" customHeight="1">
      <c r="A104" s="1418"/>
      <c r="B104" s="1259" t="s">
        <v>643</v>
      </c>
      <c r="C104" s="1419">
        <f>'Table 5C1 - Type 2s'!B10</f>
        <v>2</v>
      </c>
      <c r="D104" s="1419">
        <v>0</v>
      </c>
      <c r="E104" s="1420">
        <f>D104-C104</f>
        <v>-2</v>
      </c>
      <c r="F104" s="1420">
        <f>IF(E104&gt;0,E104,0)</f>
        <v>0</v>
      </c>
      <c r="G104" s="1420">
        <f>IF(E104&lt;0,E104,0)</f>
        <v>-2</v>
      </c>
      <c r="H104" s="1365">
        <f>'Table 5C1 - Type 2s'!C10</f>
        <v>5493.3241993293232</v>
      </c>
      <c r="I104" s="1365">
        <f>'Table 5C1 - Type 2s'!E10</f>
        <v>705.67</v>
      </c>
      <c r="J104" s="1365">
        <f>H104+I104</f>
        <v>6198.9941993293232</v>
      </c>
      <c r="K104" s="1354">
        <f>E104*J104</f>
        <v>-12397.988398658646</v>
      </c>
      <c r="L104" s="1365">
        <f>IF(K104&gt;0,K104,0)</f>
        <v>0</v>
      </c>
      <c r="M104" s="1365">
        <f>IF(K104&lt;0,K104,0)</f>
        <v>-12397.988398658646</v>
      </c>
    </row>
    <row r="105" spans="1:13" s="1204" customFormat="1" ht="15.75" thickBot="1">
      <c r="A105" s="1421">
        <v>343001</v>
      </c>
      <c r="B105" s="1201" t="s">
        <v>988</v>
      </c>
      <c r="C105" s="1370">
        <f>SUM(C101:C104)</f>
        <v>173</v>
      </c>
      <c r="D105" s="1370">
        <f t="shared" ref="D105:M105" si="20">SUM(D101:D104)</f>
        <v>208</v>
      </c>
      <c r="E105" s="1370">
        <f t="shared" si="20"/>
        <v>35</v>
      </c>
      <c r="F105" s="1370">
        <f t="shared" si="20"/>
        <v>40</v>
      </c>
      <c r="G105" s="1370">
        <f t="shared" si="20"/>
        <v>-5</v>
      </c>
      <c r="H105" s="1371"/>
      <c r="I105" s="1371"/>
      <c r="J105" s="1371"/>
      <c r="K105" s="1371">
        <f t="shared" si="20"/>
        <v>130366.42879231843</v>
      </c>
      <c r="L105" s="1371">
        <f t="shared" si="20"/>
        <v>162731.19734329655</v>
      </c>
      <c r="M105" s="1371">
        <f t="shared" si="20"/>
        <v>-32364.768550978111</v>
      </c>
    </row>
    <row r="106" spans="1:13" s="1204" customFormat="1" ht="6.75" customHeight="1" thickTop="1">
      <c r="A106" s="1262"/>
      <c r="B106" s="1263"/>
      <c r="C106" s="1422"/>
      <c r="D106" s="1422"/>
      <c r="E106" s="1423"/>
      <c r="F106" s="1423"/>
      <c r="G106" s="1423"/>
      <c r="H106" s="1424"/>
      <c r="I106" s="1424"/>
      <c r="J106" s="1424"/>
      <c r="K106" s="1424"/>
      <c r="L106" s="1424"/>
      <c r="M106" s="1424"/>
    </row>
    <row r="107" spans="1:13" s="1227" customFormat="1" ht="14.25" customHeight="1">
      <c r="A107" s="1418"/>
      <c r="B107" s="1258" t="s">
        <v>652</v>
      </c>
      <c r="C107" s="1419">
        <f>'Table 5C1 - Type 2s'!B24</f>
        <v>292</v>
      </c>
      <c r="D107" s="1419">
        <f>[14]Sheet1!$G$60</f>
        <v>359</v>
      </c>
      <c r="E107" s="1420">
        <f>D107-C107</f>
        <v>67</v>
      </c>
      <c r="F107" s="1420">
        <f>IF(E107&gt;0,E107,0)</f>
        <v>67</v>
      </c>
      <c r="G107" s="1420">
        <f>IF(E107&lt;0,E107,0)</f>
        <v>0</v>
      </c>
      <c r="H107" s="1365">
        <f>'Table 5C1 - Type 2s'!C24</f>
        <v>5099.6603048621055</v>
      </c>
      <c r="I107" s="1365">
        <f>'Table 5C1 - Type 2s'!E24</f>
        <v>614.66000000000008</v>
      </c>
      <c r="J107" s="1365">
        <f>H107+I107</f>
        <v>5714.3203048621053</v>
      </c>
      <c r="K107" s="1354">
        <f>E107*J107</f>
        <v>382859.46042576106</v>
      </c>
      <c r="L107" s="1365">
        <f>IF(K107&gt;0,K107,0)</f>
        <v>382859.46042576106</v>
      </c>
      <c r="M107" s="1365">
        <f>IF(K107&lt;0,K107,0)</f>
        <v>0</v>
      </c>
    </row>
    <row r="108" spans="1:13" s="1227" customFormat="1" ht="14.25" customHeight="1">
      <c r="A108" s="1418"/>
      <c r="B108" s="1258" t="s">
        <v>653</v>
      </c>
      <c r="C108" s="1419">
        <f>'Table 5C1 - Type 2s'!B25</f>
        <v>7</v>
      </c>
      <c r="D108" s="1419">
        <f>[14]Sheet1!$G$41</f>
        <v>2</v>
      </c>
      <c r="E108" s="1420">
        <f>D108-C108</f>
        <v>-5</v>
      </c>
      <c r="F108" s="1420">
        <f>IF(E108&gt;0,E108,0)</f>
        <v>0</v>
      </c>
      <c r="G108" s="1420">
        <f>IF(E108&lt;0,E108,0)</f>
        <v>-5</v>
      </c>
      <c r="H108" s="1365">
        <f>'Table 5C1 - Type 2s'!C25</f>
        <v>5472.0894180640744</v>
      </c>
      <c r="I108" s="1365">
        <f>'Table 5C1 - Type 2s'!E25</f>
        <v>653.61</v>
      </c>
      <c r="J108" s="1365">
        <f>H108+I108</f>
        <v>6125.6994180640741</v>
      </c>
      <c r="K108" s="1354">
        <f>E108*J108</f>
        <v>-30628.497090320372</v>
      </c>
      <c r="L108" s="1365">
        <f>IF(K108&gt;0,K108,0)</f>
        <v>0</v>
      </c>
      <c r="M108" s="1365">
        <f>IF(K108&lt;0,K108,0)</f>
        <v>-30628.497090320372</v>
      </c>
    </row>
    <row r="109" spans="1:13" s="1227" customFormat="1" ht="14.25" customHeight="1">
      <c r="A109" s="1418"/>
      <c r="B109" s="1258" t="s">
        <v>654</v>
      </c>
      <c r="C109" s="1419">
        <f>'Table 5C1 - Type 2s'!B26</f>
        <v>5</v>
      </c>
      <c r="D109" s="1419">
        <f>[14]Sheet1!$G$35</f>
        <v>2</v>
      </c>
      <c r="E109" s="1420">
        <f>D109-C109</f>
        <v>-3</v>
      </c>
      <c r="F109" s="1420">
        <f>IF(E109&gt;0,E109,0)</f>
        <v>0</v>
      </c>
      <c r="G109" s="1420">
        <f>IF(E109&lt;0,E109,0)</f>
        <v>-3</v>
      </c>
      <c r="H109" s="1365">
        <f>'Table 5C1 - Type 2s'!C26</f>
        <v>4232.8839525109115</v>
      </c>
      <c r="I109" s="1365">
        <f>'Table 5C1 - Type 2s'!E26</f>
        <v>620.83000000000004</v>
      </c>
      <c r="J109" s="1365">
        <f>H109+I109</f>
        <v>4853.7139525109114</v>
      </c>
      <c r="K109" s="1354">
        <f>E109*J109</f>
        <v>-14561.141857532733</v>
      </c>
      <c r="L109" s="1365">
        <f>IF(K109&gt;0,K109,0)</f>
        <v>0</v>
      </c>
      <c r="M109" s="1365">
        <f>IF(K109&lt;0,K109,0)</f>
        <v>-14561.141857532733</v>
      </c>
    </row>
    <row r="110" spans="1:13" s="1227" customFormat="1" ht="14.25" customHeight="1">
      <c r="A110" s="1418"/>
      <c r="B110" s="1425" t="s">
        <v>655</v>
      </c>
      <c r="C110" s="1419">
        <f>'Table 5C1 - Type 2s'!B27</f>
        <v>1</v>
      </c>
      <c r="D110" s="1419">
        <f>[14]Sheet1!$G$76</f>
        <v>1</v>
      </c>
      <c r="E110" s="1420">
        <f>D110-C110</f>
        <v>0</v>
      </c>
      <c r="F110" s="1420">
        <f>IF(E110&gt;0,E110,0)</f>
        <v>0</v>
      </c>
      <c r="G110" s="1420">
        <f>IF(E110&lt;0,E110,0)</f>
        <v>0</v>
      </c>
      <c r="H110" s="1365">
        <f>'Table 5C1 - Type 2s'!C27</f>
        <v>5099.6603048621055</v>
      </c>
      <c r="I110" s="1365">
        <f>'Table 5C1 - Type 2s'!E27</f>
        <v>614.66000000000008</v>
      </c>
      <c r="J110" s="1365">
        <f>H110+I110</f>
        <v>5714.3203048621053</v>
      </c>
      <c r="K110" s="1354">
        <f>E110*J110</f>
        <v>0</v>
      </c>
      <c r="L110" s="1365">
        <f>IF(K110&gt;0,K110,0)</f>
        <v>0</v>
      </c>
      <c r="M110" s="1365">
        <f>IF(K110&lt;0,K110,0)</f>
        <v>0</v>
      </c>
    </row>
    <row r="111" spans="1:13" s="1204" customFormat="1" ht="15.75" thickBot="1">
      <c r="A111" s="1421">
        <v>341001</v>
      </c>
      <c r="B111" s="1201" t="s">
        <v>989</v>
      </c>
      <c r="C111" s="1370">
        <f>SUM(C107:C110)</f>
        <v>305</v>
      </c>
      <c r="D111" s="1370">
        <f t="shared" ref="D111:G111" si="21">SUM(D107:D110)</f>
        <v>364</v>
      </c>
      <c r="E111" s="1370">
        <f t="shared" si="21"/>
        <v>59</v>
      </c>
      <c r="F111" s="1370">
        <f t="shared" si="21"/>
        <v>67</v>
      </c>
      <c r="G111" s="1370">
        <f t="shared" si="21"/>
        <v>-8</v>
      </c>
      <c r="H111" s="1371"/>
      <c r="I111" s="1371"/>
      <c r="J111" s="1371"/>
      <c r="K111" s="1371">
        <f>SUM(K107:K110)</f>
        <v>337669.82147790794</v>
      </c>
      <c r="L111" s="1371">
        <f t="shared" ref="L111:M111" si="22">SUM(L107:L110)</f>
        <v>382859.46042576106</v>
      </c>
      <c r="M111" s="1371">
        <f t="shared" si="22"/>
        <v>-45189.638947853105</v>
      </c>
    </row>
    <row r="112" spans="1:13" s="1245" customFormat="1" ht="6.75" customHeight="1" thickTop="1">
      <c r="A112" s="1262"/>
      <c r="B112" s="1263"/>
      <c r="C112" s="1422"/>
      <c r="D112" s="1422"/>
      <c r="E112" s="1423"/>
      <c r="F112" s="1423"/>
      <c r="G112" s="1423"/>
      <c r="H112" s="1424"/>
      <c r="I112" s="1424"/>
      <c r="J112" s="1424"/>
      <c r="K112" s="1424"/>
      <c r="L112" s="1424"/>
      <c r="M112" s="1424"/>
    </row>
    <row r="113" spans="1:13" s="1227" customFormat="1" ht="15" customHeight="1">
      <c r="A113" s="1418"/>
      <c r="B113" s="1258" t="s">
        <v>662</v>
      </c>
      <c r="C113" s="1419">
        <f>'Table 5C1 - Type 2s'!B41</f>
        <v>172</v>
      </c>
      <c r="D113" s="1419">
        <f>[14]Sheet1!$J$40</f>
        <v>264</v>
      </c>
      <c r="E113" s="1420">
        <f>D113-C113</f>
        <v>92</v>
      </c>
      <c r="F113" s="1420">
        <f>IF(E113&gt;0,E113,0)</f>
        <v>92</v>
      </c>
      <c r="G113" s="1420">
        <f>IF(E113&lt;0,E113,0)</f>
        <v>0</v>
      </c>
      <c r="H113" s="1365">
        <f>'Table 5C1 - Type 2s'!C41</f>
        <v>3252.0270959716217</v>
      </c>
      <c r="I113" s="1365">
        <f>'Table 5C1 - Type 2s'!E41</f>
        <v>746.0335616438357</v>
      </c>
      <c r="J113" s="1365">
        <f>H113+I113</f>
        <v>3998.0606576154573</v>
      </c>
      <c r="K113" s="1354">
        <f>E113*J113</f>
        <v>367821.58050062205</v>
      </c>
      <c r="L113" s="1365">
        <f>IF(K113&gt;0,K113,0)</f>
        <v>367821.58050062205</v>
      </c>
      <c r="M113" s="1365">
        <f>IF(K113&lt;0,K113,0)</f>
        <v>0</v>
      </c>
    </row>
    <row r="114" spans="1:13" s="1227" customFormat="1" ht="15" customHeight="1">
      <c r="A114" s="1418"/>
      <c r="B114" s="1258" t="s">
        <v>663</v>
      </c>
      <c r="C114" s="1419">
        <f>'Table 5C1 - Type 2s'!B42</f>
        <v>12</v>
      </c>
      <c r="D114" s="1419">
        <f>[14]Sheet1!$J$30</f>
        <v>27</v>
      </c>
      <c r="E114" s="1420">
        <f>D114-C114</f>
        <v>15</v>
      </c>
      <c r="F114" s="1420">
        <f>IF(E114&gt;0,E114,0)</f>
        <v>15</v>
      </c>
      <c r="G114" s="1420">
        <f>IF(E114&lt;0,E114,0)</f>
        <v>0</v>
      </c>
      <c r="H114" s="1365">
        <f>'Table 5C1 - Type 2s'!C42</f>
        <v>3150.3479009796833</v>
      </c>
      <c r="I114" s="1365">
        <f>'Table 5C1 - Type 2s'!E42</f>
        <v>836.83</v>
      </c>
      <c r="J114" s="1365">
        <f>H114+I114</f>
        <v>3987.1779009796833</v>
      </c>
      <c r="K114" s="1354">
        <f>E114*J114</f>
        <v>59807.668514695251</v>
      </c>
      <c r="L114" s="1365">
        <f>IF(K114&gt;0,K114,0)</f>
        <v>59807.668514695251</v>
      </c>
      <c r="M114" s="1365">
        <f>IF(K114&lt;0,K114,0)</f>
        <v>0</v>
      </c>
    </row>
    <row r="115" spans="1:13" s="1227" customFormat="1" ht="15" customHeight="1">
      <c r="A115" s="1418"/>
      <c r="B115" s="1258" t="s">
        <v>664</v>
      </c>
      <c r="C115" s="1419">
        <v>0</v>
      </c>
      <c r="D115" s="1419">
        <f>[14]Sheet1!$J$48</f>
        <v>1</v>
      </c>
      <c r="E115" s="1420">
        <f t="shared" ref="E115:E117" si="23">D115-C115</f>
        <v>1</v>
      </c>
      <c r="F115" s="1420">
        <f t="shared" ref="F115:F117" si="24">IF(E115&gt;0,E115,0)</f>
        <v>1</v>
      </c>
      <c r="G115" s="1420">
        <f t="shared" ref="G115:G117" si="25">IF(E115&lt;0,E115,0)</f>
        <v>0</v>
      </c>
      <c r="H115" s="1365">
        <f>'Table 3 Levels 1&amp;2'!AL51</f>
        <v>4357.2434646748297</v>
      </c>
      <c r="I115" s="1365">
        <f>'Table 4 Level 3'!P49</f>
        <v>663.16000000000008</v>
      </c>
      <c r="J115" s="1365">
        <f t="shared" ref="J115:J117" si="26">H115+I115</f>
        <v>5020.4034646748296</v>
      </c>
      <c r="K115" s="1354">
        <f t="shared" ref="K115:K117" si="27">E115*J115</f>
        <v>5020.4034646748296</v>
      </c>
      <c r="L115" s="1365">
        <f t="shared" ref="L115:L117" si="28">IF(K115&gt;0,K115,0)</f>
        <v>5020.4034646748296</v>
      </c>
      <c r="M115" s="1365">
        <f t="shared" ref="M115:M117" si="29">IF(K115&lt;0,K115,0)</f>
        <v>0</v>
      </c>
    </row>
    <row r="116" spans="1:13" s="1227" customFormat="1" ht="15" customHeight="1">
      <c r="A116" s="1418"/>
      <c r="B116" s="1258" t="s">
        <v>665</v>
      </c>
      <c r="C116" s="1419">
        <v>0</v>
      </c>
      <c r="D116" s="1419">
        <f>[14]Sheet1!$J$49</f>
        <v>1</v>
      </c>
      <c r="E116" s="1420">
        <f t="shared" si="23"/>
        <v>1</v>
      </c>
      <c r="F116" s="1420">
        <f t="shared" si="24"/>
        <v>1</v>
      </c>
      <c r="G116" s="1420">
        <f t="shared" si="25"/>
        <v>0</v>
      </c>
      <c r="H116" s="1365">
        <f>'Table 3 Levels 1&amp;2'!AL52</f>
        <v>2430.4793213149524</v>
      </c>
      <c r="I116" s="1365">
        <f>'Table 4 Level 3'!P50</f>
        <v>753.96000000000015</v>
      </c>
      <c r="J116" s="1365">
        <f t="shared" si="26"/>
        <v>3184.4393213149524</v>
      </c>
      <c r="K116" s="1354">
        <f t="shared" si="27"/>
        <v>3184.4393213149524</v>
      </c>
      <c r="L116" s="1365">
        <f t="shared" si="28"/>
        <v>3184.4393213149524</v>
      </c>
      <c r="M116" s="1365">
        <f t="shared" si="29"/>
        <v>0</v>
      </c>
    </row>
    <row r="117" spans="1:13" s="1227" customFormat="1" ht="15" customHeight="1">
      <c r="A117" s="1418"/>
      <c r="B117" s="1258" t="s">
        <v>666</v>
      </c>
      <c r="C117" s="1419">
        <v>0</v>
      </c>
      <c r="D117" s="1419">
        <f>[14]Sheet1!$J$52</f>
        <v>2</v>
      </c>
      <c r="E117" s="1420">
        <f t="shared" si="23"/>
        <v>2</v>
      </c>
      <c r="F117" s="1420">
        <f t="shared" si="24"/>
        <v>2</v>
      </c>
      <c r="G117" s="1420">
        <f t="shared" si="25"/>
        <v>0</v>
      </c>
      <c r="H117" s="1365">
        <f>'Table 3 Levels 1&amp;2'!AL55</f>
        <v>3462.9674441491134</v>
      </c>
      <c r="I117" s="1365">
        <f>'Table 4 Level 3'!P53</f>
        <v>871.07</v>
      </c>
      <c r="J117" s="1365">
        <f t="shared" si="26"/>
        <v>4334.0374441491131</v>
      </c>
      <c r="K117" s="1354">
        <f t="shared" si="27"/>
        <v>8668.0748882982261</v>
      </c>
      <c r="L117" s="1365">
        <f t="shared" si="28"/>
        <v>8668.0748882982261</v>
      </c>
      <c r="M117" s="1365">
        <f t="shared" si="29"/>
        <v>0</v>
      </c>
    </row>
    <row r="118" spans="1:13" s="1227" customFormat="1" ht="14.25" customHeight="1">
      <c r="A118" s="1418"/>
      <c r="B118" s="1258" t="s">
        <v>667</v>
      </c>
      <c r="C118" s="1419">
        <f>'Table 5C1 - Type 2s'!B46</f>
        <v>1</v>
      </c>
      <c r="D118" s="1419">
        <f>[14]Sheet1!$J$56</f>
        <v>1</v>
      </c>
      <c r="E118" s="1420">
        <f>D118-C118</f>
        <v>0</v>
      </c>
      <c r="F118" s="1420">
        <f>IF(E118&gt;0,E118,0)</f>
        <v>0</v>
      </c>
      <c r="G118" s="1420">
        <f>IF(E118&lt;0,E118,0)</f>
        <v>0</v>
      </c>
      <c r="H118" s="1365">
        <f>'Table 5C1 - Type 2s'!C46</f>
        <v>4986.190392708143</v>
      </c>
      <c r="I118" s="1365">
        <f>'Table 5C1 - Type 2s'!E46</f>
        <v>658.37</v>
      </c>
      <c r="J118" s="1365">
        <f>H118+I118</f>
        <v>5644.5603927081429</v>
      </c>
      <c r="K118" s="1354">
        <f>E118*J118</f>
        <v>0</v>
      </c>
      <c r="L118" s="1365">
        <f>IF(K118&gt;0,K118,0)</f>
        <v>0</v>
      </c>
      <c r="M118" s="1365">
        <f>IF(K118&lt;0,K118,0)</f>
        <v>0</v>
      </c>
    </row>
    <row r="119" spans="1:13" s="1204" customFormat="1" ht="15.75" thickBot="1">
      <c r="A119" s="1421">
        <v>344</v>
      </c>
      <c r="B119" s="1201" t="s">
        <v>990</v>
      </c>
      <c r="C119" s="1370">
        <f>SUM(C113:C118)</f>
        <v>185</v>
      </c>
      <c r="D119" s="1370">
        <f t="shared" ref="D119:M119" si="30">SUM(D113:D118)</f>
        <v>296</v>
      </c>
      <c r="E119" s="1370">
        <f t="shared" si="30"/>
        <v>111</v>
      </c>
      <c r="F119" s="1370">
        <f t="shared" si="30"/>
        <v>111</v>
      </c>
      <c r="G119" s="1370">
        <f t="shared" si="30"/>
        <v>0</v>
      </c>
      <c r="H119" s="1371"/>
      <c r="I119" s="1371"/>
      <c r="J119" s="1371"/>
      <c r="K119" s="1371">
        <f t="shared" si="30"/>
        <v>444502.16668960534</v>
      </c>
      <c r="L119" s="1371">
        <f t="shared" si="30"/>
        <v>444502.16668960534</v>
      </c>
      <c r="M119" s="1371">
        <f t="shared" si="30"/>
        <v>0</v>
      </c>
    </row>
    <row r="120" spans="1:13" s="1204" customFormat="1" ht="6.75" customHeight="1" thickTop="1">
      <c r="A120" s="1266"/>
      <c r="B120" s="1263"/>
      <c r="C120" s="1422"/>
      <c r="D120" s="1422"/>
      <c r="E120" s="1423"/>
      <c r="F120" s="1423"/>
      <c r="G120" s="1423"/>
      <c r="H120" s="1424"/>
      <c r="I120" s="1424"/>
      <c r="J120" s="1424"/>
      <c r="K120" s="1424"/>
      <c r="L120" s="1424"/>
      <c r="M120" s="1424"/>
    </row>
    <row r="121" spans="1:13" s="1204" customFormat="1" ht="14.25" customHeight="1">
      <c r="A121" s="1426"/>
      <c r="B121" s="1267" t="s">
        <v>662</v>
      </c>
      <c r="C121" s="1427">
        <f>'Table 5C1 - Type 2s'!B65</f>
        <v>75</v>
      </c>
      <c r="D121" s="1382">
        <f>[14]Sheet1!$N$40</f>
        <v>52</v>
      </c>
      <c r="E121" s="1383">
        <f>D121-C121</f>
        <v>-23</v>
      </c>
      <c r="F121" s="1383">
        <f>IF(E121&gt;0,E121,0)</f>
        <v>0</v>
      </c>
      <c r="G121" s="1383">
        <f>IF(E121&lt;0,E121,0)</f>
        <v>-23</v>
      </c>
      <c r="H121" s="1428">
        <f>'Table 5C1 - Type 2s'!C60</f>
        <v>3252.0270959716217</v>
      </c>
      <c r="I121" s="1384">
        <f>'Table 5C1 - Type 2s'!E60</f>
        <v>746.0335616438357</v>
      </c>
      <c r="J121" s="1384">
        <f>H121+I121</f>
        <v>3998.0606576154573</v>
      </c>
      <c r="K121" s="1384">
        <f>E121*J121</f>
        <v>-91955.395125155512</v>
      </c>
      <c r="L121" s="1384">
        <f>IF(K121&gt;0,K121,0)</f>
        <v>0</v>
      </c>
      <c r="M121" s="1428">
        <f>IF(K121&lt;0,K121,0)</f>
        <v>-91955.395125155512</v>
      </c>
    </row>
    <row r="122" spans="1:13" s="1430" customFormat="1" ht="15.75" customHeight="1">
      <c r="A122" s="1392"/>
      <c r="B122" s="1267" t="s">
        <v>663</v>
      </c>
      <c r="C122" s="1429"/>
      <c r="D122" s="1393">
        <f>[14]Sheet1!$N$30</f>
        <v>50</v>
      </c>
      <c r="E122" s="1394">
        <f>D122+C122</f>
        <v>50</v>
      </c>
      <c r="F122" s="1394">
        <f>IF(E122&gt;0,E122,0)</f>
        <v>50</v>
      </c>
      <c r="G122" s="1394">
        <f>IF(E122&lt;0,E122,0)</f>
        <v>0</v>
      </c>
      <c r="H122" s="1428">
        <f>'Table 3 Levels 1&amp;2'!AL33</f>
        <v>3150.3479009796833</v>
      </c>
      <c r="I122" s="1384">
        <f>'Table 4 Level 3'!P31</f>
        <v>836.83</v>
      </c>
      <c r="J122" s="1395">
        <f>H122+I122</f>
        <v>3987.1779009796833</v>
      </c>
      <c r="K122" s="1395">
        <f>E122*J122</f>
        <v>199358.89504898415</v>
      </c>
      <c r="L122" s="1395">
        <f>IF(K122&gt;0,K122,0)</f>
        <v>199358.89504898415</v>
      </c>
      <c r="M122" s="1395">
        <f>IF(K122&lt;0,K122,0)</f>
        <v>0</v>
      </c>
    </row>
    <row r="123" spans="1:13" s="1430" customFormat="1" ht="15.75" customHeight="1" thickBot="1">
      <c r="A123" s="1431">
        <v>348</v>
      </c>
      <c r="B123" s="1218" t="s">
        <v>991</v>
      </c>
      <c r="C123" s="1432">
        <f>SUM(C121:C121)</f>
        <v>75</v>
      </c>
      <c r="D123" s="1432">
        <f>SUM(D121:D122)</f>
        <v>102</v>
      </c>
      <c r="E123" s="1433">
        <f>SUM(E121:E122)</f>
        <v>27</v>
      </c>
      <c r="F123" s="1433">
        <f>SUM(F121:F122)</f>
        <v>50</v>
      </c>
      <c r="G123" s="1433">
        <f>SUM(G121:G122)</f>
        <v>-23</v>
      </c>
      <c r="H123" s="1434"/>
      <c r="I123" s="1434"/>
      <c r="J123" s="1434"/>
      <c r="K123" s="1434">
        <f>SUM(K121:K122)</f>
        <v>107403.49992382864</v>
      </c>
      <c r="L123" s="1434">
        <f>SUM(L121:L122)</f>
        <v>199358.89504898415</v>
      </c>
      <c r="M123" s="1434">
        <f>SUM(M121:M122)</f>
        <v>-91955.395125155512</v>
      </c>
    </row>
    <row r="124" spans="1:13" s="1204" customFormat="1" ht="6.75" customHeight="1" thickTop="1">
      <c r="A124" s="1272"/>
      <c r="B124" s="1273"/>
      <c r="C124" s="1435"/>
      <c r="D124" s="1435"/>
      <c r="E124" s="1436"/>
      <c r="F124" s="1436"/>
      <c r="G124" s="1436"/>
      <c r="H124" s="1437"/>
      <c r="I124" s="1437"/>
      <c r="J124" s="1437"/>
      <c r="K124" s="1437"/>
      <c r="L124" s="1437"/>
      <c r="M124" s="1437"/>
    </row>
    <row r="125" spans="1:13" s="1438" customFormat="1" ht="14.25" customHeight="1">
      <c r="A125" s="1426"/>
      <c r="B125" s="1267" t="s">
        <v>662</v>
      </c>
      <c r="C125" s="1427">
        <f>'Table 5C1 - Type 2s'!B79</f>
        <v>50</v>
      </c>
      <c r="D125" s="1382">
        <f>[14]Sheet1!$M$40</f>
        <v>43</v>
      </c>
      <c r="E125" s="1383">
        <f>D125-C125</f>
        <v>-7</v>
      </c>
      <c r="F125" s="1383">
        <f>IF(E125&gt;0,E125,0)</f>
        <v>0</v>
      </c>
      <c r="G125" s="1383">
        <f>IF(E125&lt;0,E125,0)</f>
        <v>-7</v>
      </c>
      <c r="H125" s="1395">
        <f>'Table 5C1 - Type 2s'!C77</f>
        <v>3252.0270959716217</v>
      </c>
      <c r="I125" s="1395">
        <f>'Table 5C1 - Type 2s'!E77</f>
        <v>746.0335616438357</v>
      </c>
      <c r="J125" s="1395">
        <f>H125+I125</f>
        <v>3998.0606576154573</v>
      </c>
      <c r="K125" s="1384">
        <f t="shared" ref="K125:K126" si="31">E125*J125</f>
        <v>-27986.424603308202</v>
      </c>
      <c r="L125" s="1384">
        <f t="shared" ref="L125:L126" si="32">IF(K125&gt;0,K125,0)</f>
        <v>0</v>
      </c>
      <c r="M125" s="1428">
        <f t="shared" ref="M125:M126" si="33">IF(K125&lt;0,K125,0)</f>
        <v>-27986.424603308202</v>
      </c>
    </row>
    <row r="126" spans="1:13" s="1430" customFormat="1" ht="15.75" customHeight="1">
      <c r="A126" s="1439"/>
      <c r="B126" s="1267" t="s">
        <v>663</v>
      </c>
      <c r="C126" s="1440"/>
      <c r="D126" s="1393">
        <f>[14]Sheet1!$M$30</f>
        <v>10</v>
      </c>
      <c r="E126" s="1394">
        <f>D126+C126</f>
        <v>10</v>
      </c>
      <c r="F126" s="1394">
        <f>IF(E126&gt;0,E126,0)</f>
        <v>10</v>
      </c>
      <c r="G126" s="1394">
        <f>IF(E126&lt;0,E126,0)</f>
        <v>0</v>
      </c>
      <c r="H126" s="1395">
        <f>'Table 3 Levels 1&amp;2'!AL33</f>
        <v>3150.3479009796833</v>
      </c>
      <c r="I126" s="1395">
        <f>'Table 4 Level 3'!P31</f>
        <v>836.83</v>
      </c>
      <c r="J126" s="1395">
        <f>H126+I126</f>
        <v>3987.1779009796833</v>
      </c>
      <c r="K126" s="1395">
        <f t="shared" si="31"/>
        <v>39871.779009796832</v>
      </c>
      <c r="L126" s="1395">
        <f t="shared" si="32"/>
        <v>39871.779009796832</v>
      </c>
      <c r="M126" s="1395">
        <f t="shared" si="33"/>
        <v>0</v>
      </c>
    </row>
    <row r="127" spans="1:13" s="1430" customFormat="1" ht="15.75" customHeight="1" thickBot="1">
      <c r="A127" s="1431">
        <v>347</v>
      </c>
      <c r="B127" s="1218" t="s">
        <v>992</v>
      </c>
      <c r="C127" s="1432">
        <f>SUM(C125:C125)</f>
        <v>50</v>
      </c>
      <c r="D127" s="1432">
        <f>SUM(D125:D126)</f>
        <v>53</v>
      </c>
      <c r="E127" s="1433">
        <f>SUM(E125:E126)</f>
        <v>3</v>
      </c>
      <c r="F127" s="1433">
        <f>SUM(F125:F126)</f>
        <v>10</v>
      </c>
      <c r="G127" s="1433">
        <f>SUM(G125:G126)</f>
        <v>-7</v>
      </c>
      <c r="H127" s="1434"/>
      <c r="I127" s="1434"/>
      <c r="J127" s="1434"/>
      <c r="K127" s="1434">
        <f>SUM(K125:K126)</f>
        <v>11885.35440648863</v>
      </c>
      <c r="L127" s="1434">
        <f>SUM(L125:L126)</f>
        <v>39871.779009796832</v>
      </c>
      <c r="M127" s="1434">
        <f>SUM(M125:M126)</f>
        <v>-27986.424603308202</v>
      </c>
    </row>
    <row r="128" spans="1:13" s="1204" customFormat="1" ht="6.75" customHeight="1" thickTop="1">
      <c r="A128" s="1277"/>
      <c r="B128" s="1273"/>
      <c r="C128" s="1435"/>
      <c r="D128" s="1435"/>
      <c r="E128" s="1436"/>
      <c r="F128" s="1436"/>
      <c r="G128" s="1436"/>
      <c r="H128" s="1437"/>
      <c r="I128" s="1437"/>
      <c r="J128" s="1437"/>
      <c r="K128" s="1437"/>
      <c r="L128" s="1437"/>
      <c r="M128" s="1437"/>
    </row>
    <row r="129" spans="1:13" s="1430" customFormat="1" ht="15.75" customHeight="1">
      <c r="A129" s="1439"/>
      <c r="B129" s="1278" t="s">
        <v>993</v>
      </c>
      <c r="C129" s="1393">
        <f>'Table 5C1 - Type 2s'!B92</f>
        <v>637</v>
      </c>
      <c r="D129" s="1393">
        <f>'[13]1_MFP &amp; Funded Membership'!$U$116</f>
        <v>625</v>
      </c>
      <c r="E129" s="1394">
        <f>D129-C129</f>
        <v>-12</v>
      </c>
      <c r="F129" s="1394">
        <f>IF(E129&gt;0,E129,0)</f>
        <v>0</v>
      </c>
      <c r="G129" s="1394">
        <f>IF(E129&lt;0,E129,0)</f>
        <v>-12</v>
      </c>
      <c r="H129" s="1395">
        <f>'Table 5C1 - Type 2s'!C91</f>
        <v>4312.1443052791201</v>
      </c>
      <c r="I129" s="1395">
        <f>'Table 5C1 - Type 2s'!E91</f>
        <v>608.04000000000008</v>
      </c>
      <c r="J129" s="1395">
        <f>H129+I129</f>
        <v>4920.1843052791201</v>
      </c>
      <c r="K129" s="1395">
        <f>E129*J129</f>
        <v>-59042.211663349444</v>
      </c>
      <c r="L129" s="1395">
        <f>IF(K129&gt;0,K129,0)</f>
        <v>0</v>
      </c>
      <c r="M129" s="1395">
        <f>IF(K129&lt;0,K129,0)</f>
        <v>-59042.211663349444</v>
      </c>
    </row>
    <row r="130" spans="1:13" s="1430" customFormat="1" ht="15.75" customHeight="1" thickBot="1">
      <c r="A130" s="1431">
        <v>346</v>
      </c>
      <c r="B130" s="1218" t="s">
        <v>994</v>
      </c>
      <c r="C130" s="1432">
        <f>SUM(C129)</f>
        <v>637</v>
      </c>
      <c r="D130" s="1432">
        <f>SUM(D129)</f>
        <v>625</v>
      </c>
      <c r="E130" s="1433">
        <f>SUM(E129)</f>
        <v>-12</v>
      </c>
      <c r="F130" s="1433">
        <f>SUM(F129)</f>
        <v>0</v>
      </c>
      <c r="G130" s="1433">
        <f>SUM(G129)</f>
        <v>-12</v>
      </c>
      <c r="H130" s="1434"/>
      <c r="I130" s="1434"/>
      <c r="J130" s="1434"/>
      <c r="K130" s="1434">
        <f>SUM(K129)</f>
        <v>-59042.211663349444</v>
      </c>
      <c r="L130" s="1434">
        <f>SUM(L129)</f>
        <v>0</v>
      </c>
      <c r="M130" s="1434">
        <f>SUM(M129)</f>
        <v>-59042.211663349444</v>
      </c>
    </row>
    <row r="131" spans="1:13" s="1204" customFormat="1" ht="6.75" customHeight="1" thickTop="1">
      <c r="A131" s="1277"/>
      <c r="B131" s="1273"/>
      <c r="C131" s="1435"/>
      <c r="D131" s="1435"/>
      <c r="E131" s="1436"/>
      <c r="F131" s="1436"/>
      <c r="G131" s="1436"/>
      <c r="H131" s="1437"/>
      <c r="I131" s="1437"/>
      <c r="J131" s="1437"/>
      <c r="K131" s="1437"/>
      <c r="L131" s="1437"/>
      <c r="M131" s="1437"/>
    </row>
    <row r="132" spans="1:13" ht="14.25" customHeight="1">
      <c r="A132" s="1418">
        <v>396</v>
      </c>
      <c r="B132" s="1258" t="s">
        <v>995</v>
      </c>
      <c r="C132" s="1419">
        <f>'Table 5B1_RSD_Orleans'!C8</f>
        <v>6314</v>
      </c>
      <c r="D132" s="1419">
        <f>'[15]State-Operated'!$AE$36-549</f>
        <v>5440</v>
      </c>
      <c r="E132" s="1420">
        <f>D132-C132</f>
        <v>-874</v>
      </c>
      <c r="F132" s="1420">
        <f>IF(E132&gt;0,E132,0)</f>
        <v>0</v>
      </c>
      <c r="G132" s="1420">
        <f>IF(E132&lt;0,E132,0)</f>
        <v>-874</v>
      </c>
      <c r="H132" s="1365">
        <f>'Table 5B1_RSD_Orleans'!D8</f>
        <v>3252.0270959716217</v>
      </c>
      <c r="I132" s="1365">
        <f>'Table 5B1_RSD_Orleans'!F8</f>
        <v>797.0524448632965</v>
      </c>
      <c r="J132" s="1365">
        <f>H132+I132</f>
        <v>4049.0795408349181</v>
      </c>
      <c r="K132" s="1354">
        <f>E132*J132</f>
        <v>-3538895.5186897186</v>
      </c>
      <c r="L132" s="1365">
        <f>IF(K132&gt;0,K132,0)</f>
        <v>0</v>
      </c>
      <c r="M132" s="1365">
        <f>IF(K132&lt;0,K132,0)</f>
        <v>-3538895.5186897186</v>
      </c>
    </row>
    <row r="133" spans="1:13" ht="13.5" customHeight="1">
      <c r="A133" s="1418">
        <v>396201</v>
      </c>
      <c r="B133" s="1258" t="s">
        <v>996</v>
      </c>
      <c r="C133" s="1419">
        <f>'Table 5B2_RSD_LA'!C28</f>
        <v>207</v>
      </c>
      <c r="D133" s="1419">
        <f>'[15]State-Operated'!$AD$13</f>
        <v>169</v>
      </c>
      <c r="E133" s="1420">
        <f>D133-C133</f>
        <v>-38</v>
      </c>
      <c r="F133" s="1420">
        <f>IF(E133&gt;0,E133,0)</f>
        <v>0</v>
      </c>
      <c r="G133" s="1420">
        <f>IF(E133&lt;0,E133,0)</f>
        <v>-38</v>
      </c>
      <c r="H133" s="1365">
        <f>'Table 5B2_RSD_LA'!D28</f>
        <v>4384.9112825532311</v>
      </c>
      <c r="I133" s="1365">
        <f>'Table 5B2_RSD_LA'!F28</f>
        <v>744.76</v>
      </c>
      <c r="J133" s="1365">
        <f>H133+I133</f>
        <v>5129.6712825532313</v>
      </c>
      <c r="K133" s="1354">
        <f>E133*J133</f>
        <v>-194927.50873702278</v>
      </c>
      <c r="L133" s="1365">
        <f>IF(K133&gt;0,K133,0)</f>
        <v>0</v>
      </c>
      <c r="M133" s="1365">
        <f>IF(K133&lt;0,K133,0)</f>
        <v>-194927.50873702278</v>
      </c>
    </row>
    <row r="134" spans="1:13" ht="14.25">
      <c r="A134" s="1418">
        <v>396200</v>
      </c>
      <c r="B134" s="1279" t="s">
        <v>997</v>
      </c>
      <c r="C134" s="1441">
        <f>'Table 5B2_RSD_LA'!C35</f>
        <v>354</v>
      </c>
      <c r="D134" s="1441">
        <f>'[15]State-Operated'!$AD$17</f>
        <v>344</v>
      </c>
      <c r="E134" s="1442">
        <f>D134-C134</f>
        <v>-10</v>
      </c>
      <c r="F134" s="1442">
        <f>IF(E134&gt;0,E134,0)</f>
        <v>0</v>
      </c>
      <c r="G134" s="1442">
        <f>IF(E134&lt;0,E134,0)</f>
        <v>-10</v>
      </c>
      <c r="H134" s="1443">
        <f>'Table 5B2_RSD_LA'!D35</f>
        <v>5802.1110099800544</v>
      </c>
      <c r="I134" s="1443">
        <f>'Table 5B2_RSD_LA'!F35</f>
        <v>728.06</v>
      </c>
      <c r="J134" s="1443">
        <f>H134+I134</f>
        <v>6530.1710099800548</v>
      </c>
      <c r="K134" s="1444">
        <f>E134*J134</f>
        <v>-65301.710099800548</v>
      </c>
      <c r="L134" s="1443">
        <f>IF(K134&gt;0,K134,0)</f>
        <v>0</v>
      </c>
      <c r="M134" s="1443">
        <f>IF(K134&lt;0,K134,0)</f>
        <v>-65301.710099800548</v>
      </c>
    </row>
    <row r="135" spans="1:13" ht="14.25">
      <c r="A135" s="1418">
        <v>396202</v>
      </c>
      <c r="B135" s="1280" t="s">
        <v>998</v>
      </c>
      <c r="C135" s="1441">
        <v>281</v>
      </c>
      <c r="D135" s="1441">
        <f>'[15]State-Operated'!$AD$15</f>
        <v>260</v>
      </c>
      <c r="E135" s="1442">
        <f>D135-C135</f>
        <v>-21</v>
      </c>
      <c r="F135" s="1442">
        <f>IF(E135&gt;0,E135,0)</f>
        <v>0</v>
      </c>
      <c r="G135" s="1442">
        <f>IF(E135&lt;0,E135,0)</f>
        <v>-21</v>
      </c>
      <c r="H135" s="1443">
        <f>'Table 5B2_RSD_LA'!D15</f>
        <v>3266.8023094143459</v>
      </c>
      <c r="I135" s="1443">
        <f>'Table 5B2_RSD_LA'!F15</f>
        <v>766.62630000000001</v>
      </c>
      <c r="J135" s="1443">
        <f>H135+I135</f>
        <v>4033.4286094143458</v>
      </c>
      <c r="K135" s="1444">
        <f>E135*J135</f>
        <v>-84702.000797701257</v>
      </c>
      <c r="L135" s="1443">
        <f>IF(K135&gt;0,K135,0)</f>
        <v>0</v>
      </c>
      <c r="M135" s="1443">
        <f>IF(K135&lt;0,K135,0)</f>
        <v>-84702.000797701257</v>
      </c>
    </row>
    <row r="136" spans="1:13" ht="14.25">
      <c r="A136" s="1418">
        <v>396203</v>
      </c>
      <c r="B136" s="1445" t="s">
        <v>999</v>
      </c>
      <c r="C136" s="1441">
        <v>563</v>
      </c>
      <c r="D136" s="1441">
        <f>'[15]State-Operated'!$AD$35</f>
        <v>549</v>
      </c>
      <c r="E136" s="1442">
        <f t="shared" ref="E136" si="34">D136-C136</f>
        <v>-14</v>
      </c>
      <c r="F136" s="1442">
        <f t="shared" ref="F136" si="35">IF(E136&gt;0,E136,0)</f>
        <v>0</v>
      </c>
      <c r="G136" s="1442">
        <f t="shared" ref="G136" si="36">IF(E136&lt;0,E136,0)</f>
        <v>-14</v>
      </c>
      <c r="H136" s="1443">
        <f>'Table 5B1_RSD_Orleans'!D33</f>
        <v>3252.0270959716217</v>
      </c>
      <c r="I136" s="1443">
        <f>'Table 5B1_RSD_Orleans'!F33</f>
        <v>678.80657639489118</v>
      </c>
      <c r="J136" s="1443">
        <f t="shared" ref="J136" si="37">H136+I136</f>
        <v>3930.8336723665129</v>
      </c>
      <c r="K136" s="1444">
        <f t="shared" ref="K136" si="38">E136*J136</f>
        <v>-55031.671413131182</v>
      </c>
      <c r="L136" s="1443">
        <f t="shared" ref="L136" si="39">IF(K136&gt;0,K136,0)</f>
        <v>0</v>
      </c>
      <c r="M136" s="1443">
        <f t="shared" ref="M136" si="40">IF(K136&lt;0,K136,0)</f>
        <v>-55031.671413131182</v>
      </c>
    </row>
    <row r="137" spans="1:13" s="1204" customFormat="1" ht="15" customHeight="1" thickBot="1">
      <c r="A137" s="1369"/>
      <c r="B137" s="1201" t="s">
        <v>1000</v>
      </c>
      <c r="C137" s="1370">
        <f>SUM(C132:C136)</f>
        <v>7719</v>
      </c>
      <c r="D137" s="1370">
        <f>SUM(D132:D136)</f>
        <v>6762</v>
      </c>
      <c r="E137" s="1370">
        <f>SUM(E132:E136)</f>
        <v>-957</v>
      </c>
      <c r="F137" s="1370">
        <f>SUM(F132:F136)</f>
        <v>0</v>
      </c>
      <c r="G137" s="1370">
        <f>SUM(G132:G136)</f>
        <v>-957</v>
      </c>
      <c r="H137" s="1371"/>
      <c r="I137" s="1371"/>
      <c r="J137" s="1371"/>
      <c r="K137" s="1371">
        <f>SUM(K132:K136)</f>
        <v>-3938858.4097373742</v>
      </c>
      <c r="L137" s="1371">
        <f>SUM(L132:L136)</f>
        <v>0</v>
      </c>
      <c r="M137" s="1371">
        <f>SUM(M132:M136)</f>
        <v>-3938858.4097373742</v>
      </c>
    </row>
    <row r="138" spans="1:13" ht="6.75" customHeight="1" thickTop="1">
      <c r="A138" s="1282"/>
      <c r="B138" s="1283"/>
      <c r="C138" s="1446"/>
      <c r="D138" s="1446"/>
      <c r="E138" s="1447"/>
      <c r="F138" s="1447"/>
      <c r="G138" s="1447"/>
      <c r="H138" s="1448"/>
      <c r="I138" s="1448"/>
      <c r="J138" s="1448"/>
      <c r="K138" s="1448"/>
      <c r="L138" s="1448"/>
      <c r="M138" s="1448"/>
    </row>
    <row r="139" spans="1:13" s="1227" customFormat="1" ht="14.25" customHeight="1">
      <c r="A139" s="1186" t="s">
        <v>1001</v>
      </c>
      <c r="B139" s="1284" t="s">
        <v>1002</v>
      </c>
      <c r="C139" s="1351">
        <f>'Table 5B1_RSD_Orleans'!C11</f>
        <v>362</v>
      </c>
      <c r="D139" s="1351">
        <f>'[15]RSD-NO'!$AD14</f>
        <v>340</v>
      </c>
      <c r="E139" s="1352">
        <f t="shared" ref="E139:E188" si="41">D139-C139</f>
        <v>-22</v>
      </c>
      <c r="F139" s="1352">
        <f t="shared" ref="F139:F188" si="42">IF(E139&gt;0,E139,0)</f>
        <v>0</v>
      </c>
      <c r="G139" s="1352">
        <f t="shared" ref="G139:G188" si="43">IF(E139&lt;0,E139,0)</f>
        <v>-22</v>
      </c>
      <c r="H139" s="1353">
        <f>'Table 5B1_RSD_Orleans'!D11</f>
        <v>3252.0270959716217</v>
      </c>
      <c r="I139" s="1353">
        <f>'Table 5B1_RSD_Orleans'!F11</f>
        <v>767.72184717013943</v>
      </c>
      <c r="J139" s="1353">
        <f t="shared" ref="J139:J188" si="44">H139+I139</f>
        <v>4019.7489431417612</v>
      </c>
      <c r="K139" s="1354">
        <f t="shared" ref="K139:K188" si="45">E139*J139</f>
        <v>-88434.476749118752</v>
      </c>
      <c r="L139" s="1353">
        <f t="shared" ref="L139:L188" si="46">IF(K139&gt;0,K139,0)</f>
        <v>0</v>
      </c>
      <c r="M139" s="1353">
        <f t="shared" ref="M139:M188" si="47">IF(K139&lt;0,K139,0)</f>
        <v>-88434.476749118752</v>
      </c>
    </row>
    <row r="140" spans="1:13" s="1227" customFormat="1" ht="14.25" customHeight="1">
      <c r="A140" s="1186" t="s">
        <v>1003</v>
      </c>
      <c r="B140" s="1285" t="s">
        <v>1004</v>
      </c>
      <c r="C140" s="1351">
        <f>'Table 5B1_RSD_Orleans'!C12</f>
        <v>369</v>
      </c>
      <c r="D140" s="1351">
        <f>'[15]RSD-NO'!$AD15</f>
        <v>445</v>
      </c>
      <c r="E140" s="1352">
        <f t="shared" si="41"/>
        <v>76</v>
      </c>
      <c r="F140" s="1352">
        <f t="shared" si="42"/>
        <v>76</v>
      </c>
      <c r="G140" s="1352">
        <f t="shared" si="43"/>
        <v>0</v>
      </c>
      <c r="H140" s="1353">
        <f>'Table 5B1_RSD_Orleans'!D12</f>
        <v>3252.0270959716217</v>
      </c>
      <c r="I140" s="1353">
        <f>'Table 5B1_RSD_Orleans'!F12</f>
        <v>730.66950653120466</v>
      </c>
      <c r="J140" s="1353">
        <f t="shared" si="44"/>
        <v>3982.6966025028264</v>
      </c>
      <c r="K140" s="1354">
        <f t="shared" si="45"/>
        <v>302684.9417902148</v>
      </c>
      <c r="L140" s="1353">
        <f t="shared" si="46"/>
        <v>302684.9417902148</v>
      </c>
      <c r="M140" s="1353">
        <f t="shared" si="47"/>
        <v>0</v>
      </c>
    </row>
    <row r="141" spans="1:13" s="1227" customFormat="1" ht="14.25" customHeight="1">
      <c r="A141" s="1186" t="s">
        <v>1005</v>
      </c>
      <c r="B141" s="1285" t="s">
        <v>1006</v>
      </c>
      <c r="C141" s="1351">
        <f>'Table 5B1_RSD_Orleans'!C13</f>
        <v>655</v>
      </c>
      <c r="D141" s="1355">
        <f>'[15]RSD-NO'!$AD16</f>
        <v>603</v>
      </c>
      <c r="E141" s="1352">
        <f t="shared" si="41"/>
        <v>-52</v>
      </c>
      <c r="F141" s="1352">
        <f t="shared" si="42"/>
        <v>0</v>
      </c>
      <c r="G141" s="1352">
        <f t="shared" si="43"/>
        <v>-52</v>
      </c>
      <c r="H141" s="1356">
        <f>'Table 5B1_RSD_Orleans'!D13</f>
        <v>3252.0270959716217</v>
      </c>
      <c r="I141" s="1356">
        <f>'Table 5B1_RSD_Orleans'!F13</f>
        <v>767.72184717013943</v>
      </c>
      <c r="J141" s="1356">
        <f t="shared" si="44"/>
        <v>4019.7489431417612</v>
      </c>
      <c r="K141" s="1354">
        <f t="shared" si="45"/>
        <v>-209026.94504337158</v>
      </c>
      <c r="L141" s="1356">
        <f t="shared" si="46"/>
        <v>0</v>
      </c>
      <c r="M141" s="1356">
        <f t="shared" si="47"/>
        <v>-209026.94504337158</v>
      </c>
    </row>
    <row r="142" spans="1:13" s="1227" customFormat="1" ht="14.25" customHeight="1">
      <c r="A142" s="1449" t="s">
        <v>1007</v>
      </c>
      <c r="B142" s="1285" t="s">
        <v>1008</v>
      </c>
      <c r="C142" s="1351">
        <f>'Table 5B1_RSD_Orleans'!C14</f>
        <v>386</v>
      </c>
      <c r="D142" s="1355">
        <f>'[15]RSD-NO'!$AD17</f>
        <v>415</v>
      </c>
      <c r="E142" s="1352">
        <f t="shared" si="41"/>
        <v>29</v>
      </c>
      <c r="F142" s="1352">
        <f t="shared" si="42"/>
        <v>29</v>
      </c>
      <c r="G142" s="1352">
        <f t="shared" si="43"/>
        <v>0</v>
      </c>
      <c r="H142" s="1356">
        <f>'Table 5B1_RSD_Orleans'!D14</f>
        <v>3252.0270959716217</v>
      </c>
      <c r="I142" s="1356">
        <f>'Table 5B1_RSD_Orleans'!F14</f>
        <v>746.0335616438357</v>
      </c>
      <c r="J142" s="1356">
        <f t="shared" si="44"/>
        <v>3998.0606576154573</v>
      </c>
      <c r="K142" s="1354">
        <f t="shared" si="45"/>
        <v>115943.75907084826</v>
      </c>
      <c r="L142" s="1356">
        <f t="shared" si="46"/>
        <v>115943.75907084826</v>
      </c>
      <c r="M142" s="1356">
        <f t="shared" si="47"/>
        <v>0</v>
      </c>
    </row>
    <row r="143" spans="1:13" s="1227" customFormat="1" ht="14.25" customHeight="1">
      <c r="A143" s="1199" t="s">
        <v>1009</v>
      </c>
      <c r="B143" s="1288" t="s">
        <v>1010</v>
      </c>
      <c r="C143" s="1357">
        <f>'Table 5B1_RSD_Orleans'!C57</f>
        <v>442</v>
      </c>
      <c r="D143" s="1358">
        <f>'[15]RSD-NO'!$AD18</f>
        <v>520</v>
      </c>
      <c r="E143" s="1359">
        <f>D143-C143</f>
        <v>78</v>
      </c>
      <c r="F143" s="1359">
        <f>IF(E143&gt;0,E143,0)</f>
        <v>78</v>
      </c>
      <c r="G143" s="1359">
        <f>IF(E143&lt;0,E143,0)</f>
        <v>0</v>
      </c>
      <c r="H143" s="1361">
        <f>'Table 5B1_RSD_Orleans'!D57</f>
        <v>3252.0270959716217</v>
      </c>
      <c r="I143" s="1361">
        <f>'Table 5B1_RSD_Orleans'!F57</f>
        <v>746.0335616438357</v>
      </c>
      <c r="J143" s="1361">
        <f>H143+I143</f>
        <v>3998.0606576154573</v>
      </c>
      <c r="K143" s="1362">
        <f>E143*J143</f>
        <v>311848.73129400564</v>
      </c>
      <c r="L143" s="1361">
        <f>IF(K143&gt;0,K143,0)</f>
        <v>311848.73129400564</v>
      </c>
      <c r="M143" s="1361">
        <f>IF(K143&lt;0,K143,0)</f>
        <v>0</v>
      </c>
    </row>
    <row r="144" spans="1:13" s="1227" customFormat="1" ht="14.25" customHeight="1">
      <c r="A144" s="1449" t="s">
        <v>1011</v>
      </c>
      <c r="B144" s="1285" t="s">
        <v>1012</v>
      </c>
      <c r="C144" s="1351">
        <f>'Table 5B1_RSD_Orleans'!C58</f>
        <v>458</v>
      </c>
      <c r="D144" s="1355">
        <f>'[15]RSD-NO'!$AD19</f>
        <v>464</v>
      </c>
      <c r="E144" s="1352">
        <f>D144-C144</f>
        <v>6</v>
      </c>
      <c r="F144" s="1352">
        <f>IF(E144&gt;0,E144,0)</f>
        <v>6</v>
      </c>
      <c r="G144" s="1352">
        <f>IF(E144&lt;0,E144,0)</f>
        <v>0</v>
      </c>
      <c r="H144" s="1356">
        <f>'Table 5B1_RSD_Orleans'!D58</f>
        <v>3252.0270959716217</v>
      </c>
      <c r="I144" s="1356">
        <f>'Table 5B1_RSD_Orleans'!F58</f>
        <v>746.0335616438357</v>
      </c>
      <c r="J144" s="1356">
        <f>H144+I144</f>
        <v>3998.0606576154573</v>
      </c>
      <c r="K144" s="1354">
        <f>E144*J144</f>
        <v>23988.363945692745</v>
      </c>
      <c r="L144" s="1356">
        <f>IF(K144&gt;0,K144,0)</f>
        <v>23988.363945692745</v>
      </c>
      <c r="M144" s="1356">
        <f>IF(K144&lt;0,K144,0)</f>
        <v>0</v>
      </c>
    </row>
    <row r="145" spans="1:13" s="1227" customFormat="1" ht="14.25" customHeight="1">
      <c r="A145" s="1449" t="s">
        <v>1013</v>
      </c>
      <c r="B145" s="1285" t="s">
        <v>1014</v>
      </c>
      <c r="C145" s="1351">
        <f>'Table 5B1_RSD_Orleans'!C15</f>
        <v>59</v>
      </c>
      <c r="D145" s="1355">
        <f>'[15]RSD-NO'!$AD20</f>
        <v>115</v>
      </c>
      <c r="E145" s="1352">
        <f t="shared" si="41"/>
        <v>56</v>
      </c>
      <c r="F145" s="1352">
        <f t="shared" si="42"/>
        <v>56</v>
      </c>
      <c r="G145" s="1352">
        <f t="shared" si="43"/>
        <v>0</v>
      </c>
      <c r="H145" s="1356">
        <f>'Table 5B1_RSD_Orleans'!D15</f>
        <v>3252.0270959716217</v>
      </c>
      <c r="I145" s="1356">
        <f>'Table 5B1_RSD_Orleans'!F15</f>
        <v>746.0335616438357</v>
      </c>
      <c r="J145" s="1356">
        <f t="shared" si="44"/>
        <v>3998.0606576154573</v>
      </c>
      <c r="K145" s="1354">
        <f t="shared" si="45"/>
        <v>223891.39682646561</v>
      </c>
      <c r="L145" s="1356">
        <f t="shared" si="46"/>
        <v>223891.39682646561</v>
      </c>
      <c r="M145" s="1356">
        <f t="shared" si="47"/>
        <v>0</v>
      </c>
    </row>
    <row r="146" spans="1:13" s="1227" customFormat="1" ht="14.25" customHeight="1">
      <c r="A146" s="1449" t="s">
        <v>1015</v>
      </c>
      <c r="B146" s="1285" t="s">
        <v>1016</v>
      </c>
      <c r="C146" s="1351">
        <f>'Table 5B1_RSD_Orleans'!C16</f>
        <v>364</v>
      </c>
      <c r="D146" s="1351">
        <f>'[15]RSD-NO'!$AD21</f>
        <v>366</v>
      </c>
      <c r="E146" s="1352">
        <f t="shared" si="41"/>
        <v>2</v>
      </c>
      <c r="F146" s="1352">
        <f t="shared" si="42"/>
        <v>2</v>
      </c>
      <c r="G146" s="1352">
        <f t="shared" si="43"/>
        <v>0</v>
      </c>
      <c r="H146" s="1353">
        <f>'Table 5B1_RSD_Orleans'!D16</f>
        <v>3252.0270959716217</v>
      </c>
      <c r="I146" s="1353">
        <f>'Table 5B1_RSD_Orleans'!F16</f>
        <v>746.0335616438357</v>
      </c>
      <c r="J146" s="1353">
        <f t="shared" si="44"/>
        <v>3998.0606576154573</v>
      </c>
      <c r="K146" s="1354">
        <f t="shared" si="45"/>
        <v>7996.1213152309147</v>
      </c>
      <c r="L146" s="1353">
        <f t="shared" si="46"/>
        <v>7996.1213152309147</v>
      </c>
      <c r="M146" s="1353">
        <f t="shared" si="47"/>
        <v>0</v>
      </c>
    </row>
    <row r="147" spans="1:13" s="1227" customFormat="1" ht="14.25" customHeight="1">
      <c r="A147" s="1449" t="s">
        <v>1017</v>
      </c>
      <c r="B147" s="1285" t="s">
        <v>1018</v>
      </c>
      <c r="C147" s="1351">
        <f>'Table 5B1_RSD_Orleans'!C17</f>
        <v>126</v>
      </c>
      <c r="D147" s="1351">
        <f>'[15]RSD-NO'!$AD22</f>
        <v>201</v>
      </c>
      <c r="E147" s="1352">
        <f t="shared" si="41"/>
        <v>75</v>
      </c>
      <c r="F147" s="1352">
        <f t="shared" si="42"/>
        <v>75</v>
      </c>
      <c r="G147" s="1352">
        <f t="shared" si="43"/>
        <v>0</v>
      </c>
      <c r="H147" s="1353">
        <f>'Table 5B1_RSD_Orleans'!D17</f>
        <v>3252.0270959716217</v>
      </c>
      <c r="I147" s="1353">
        <f>'Table 5B1_RSD_Orleans'!F17</f>
        <v>746.0335616438357</v>
      </c>
      <c r="J147" s="1353">
        <f t="shared" si="44"/>
        <v>3998.0606576154573</v>
      </c>
      <c r="K147" s="1354">
        <f t="shared" si="45"/>
        <v>299854.54932115931</v>
      </c>
      <c r="L147" s="1353">
        <f t="shared" si="46"/>
        <v>299854.54932115931</v>
      </c>
      <c r="M147" s="1353">
        <f t="shared" si="47"/>
        <v>0</v>
      </c>
    </row>
    <row r="148" spans="1:13" s="1227" customFormat="1" ht="14.25" customHeight="1">
      <c r="A148" s="1199" t="s">
        <v>1019</v>
      </c>
      <c r="B148" s="1288" t="s">
        <v>1020</v>
      </c>
      <c r="C148" s="1357">
        <f>'Table 5B1_RSD_Orleans'!C18</f>
        <v>568</v>
      </c>
      <c r="D148" s="1358">
        <f>'[15]RSD-NO'!$AD23</f>
        <v>568</v>
      </c>
      <c r="E148" s="1359">
        <f t="shared" si="41"/>
        <v>0</v>
      </c>
      <c r="F148" s="1359">
        <f t="shared" si="42"/>
        <v>0</v>
      </c>
      <c r="G148" s="1359">
        <f t="shared" si="43"/>
        <v>0</v>
      </c>
      <c r="H148" s="1361">
        <f>'Table 5B1_RSD_Orleans'!D18</f>
        <v>3252.0270959716217</v>
      </c>
      <c r="I148" s="1361">
        <f>'Table 5B1_RSD_Orleans'!F18</f>
        <v>746.0335616438357</v>
      </c>
      <c r="J148" s="1361">
        <f t="shared" si="44"/>
        <v>3998.0606576154573</v>
      </c>
      <c r="K148" s="1362">
        <f t="shared" si="45"/>
        <v>0</v>
      </c>
      <c r="L148" s="1361">
        <f t="shared" si="46"/>
        <v>0</v>
      </c>
      <c r="M148" s="1361">
        <f t="shared" si="47"/>
        <v>0</v>
      </c>
    </row>
    <row r="149" spans="1:13" s="1227" customFormat="1" ht="14.25" customHeight="1">
      <c r="A149" s="1449" t="s">
        <v>1021</v>
      </c>
      <c r="B149" s="1285" t="s">
        <v>1022</v>
      </c>
      <c r="C149" s="1351">
        <f>'Table 5B1_RSD_Orleans'!C19</f>
        <v>618</v>
      </c>
      <c r="D149" s="1355">
        <f>'[15]RSD-NO'!$AD24</f>
        <v>581</v>
      </c>
      <c r="E149" s="1352">
        <f t="shared" si="41"/>
        <v>-37</v>
      </c>
      <c r="F149" s="1352">
        <f t="shared" si="42"/>
        <v>0</v>
      </c>
      <c r="G149" s="1352">
        <f t="shared" si="43"/>
        <v>-37</v>
      </c>
      <c r="H149" s="1356">
        <f>'Table 5B1_RSD_Orleans'!D19</f>
        <v>3252.0270959716217</v>
      </c>
      <c r="I149" s="1356">
        <f>'Table 5B1_RSD_Orleans'!F19</f>
        <v>746.0335616438357</v>
      </c>
      <c r="J149" s="1356">
        <f t="shared" si="44"/>
        <v>3998.0606576154573</v>
      </c>
      <c r="K149" s="1354">
        <f t="shared" si="45"/>
        <v>-147928.24433177192</v>
      </c>
      <c r="L149" s="1356">
        <f t="shared" si="46"/>
        <v>0</v>
      </c>
      <c r="M149" s="1356">
        <f t="shared" si="47"/>
        <v>-147928.24433177192</v>
      </c>
    </row>
    <row r="150" spans="1:13" s="1227" customFormat="1" ht="14.25" customHeight="1">
      <c r="A150" s="1449" t="s">
        <v>1023</v>
      </c>
      <c r="B150" s="1285" t="s">
        <v>1024</v>
      </c>
      <c r="C150" s="1351">
        <f>'Table 5B1_RSD_Orleans'!C61</f>
        <v>543</v>
      </c>
      <c r="D150" s="1355">
        <f>'[15]RSD-NO'!$AD25</f>
        <v>590</v>
      </c>
      <c r="E150" s="1352">
        <f>D150-C150</f>
        <v>47</v>
      </c>
      <c r="F150" s="1352">
        <f>IF(E150&gt;0,E150,0)</f>
        <v>47</v>
      </c>
      <c r="G150" s="1352">
        <f>IF(E150&lt;0,E150,0)</f>
        <v>0</v>
      </c>
      <c r="H150" s="1356">
        <f>'Table 5B1_RSD_Orleans'!D61</f>
        <v>3252.0270959716217</v>
      </c>
      <c r="I150" s="1356">
        <f>'Table 5B1_RSD_Orleans'!F61</f>
        <v>746.0335616438357</v>
      </c>
      <c r="J150" s="1356">
        <f>H150+I150</f>
        <v>3998.0606576154573</v>
      </c>
      <c r="K150" s="1354">
        <f>E150*J150</f>
        <v>187908.85090792651</v>
      </c>
      <c r="L150" s="1353">
        <f>IF(K150&gt;0,K150,0)</f>
        <v>187908.85090792651</v>
      </c>
      <c r="M150" s="1353">
        <f>IF(K150&lt;0,K150,0)</f>
        <v>0</v>
      </c>
    </row>
    <row r="151" spans="1:13" s="1227" customFormat="1" ht="14.25" customHeight="1">
      <c r="A151" s="1449" t="s">
        <v>1025</v>
      </c>
      <c r="B151" s="1285" t="s">
        <v>1026</v>
      </c>
      <c r="C151" s="1351">
        <f>'Table 5B1_RSD_Orleans'!C59</f>
        <v>150</v>
      </c>
      <c r="D151" s="1355">
        <f>'[15]RSD-NO'!$AD26</f>
        <v>155</v>
      </c>
      <c r="E151" s="1352">
        <f>D151-C151</f>
        <v>5</v>
      </c>
      <c r="F151" s="1352">
        <f>IF(E151&gt;0,E151,0)</f>
        <v>5</v>
      </c>
      <c r="G151" s="1352">
        <f>IF(E151&lt;0,E151,0)</f>
        <v>0</v>
      </c>
      <c r="H151" s="1356">
        <f>'Table 5B1_RSD_Orleans'!D59</f>
        <v>3252.0270959716217</v>
      </c>
      <c r="I151" s="1356">
        <f>'Table 5B1_RSD_Orleans'!F59</f>
        <v>746.0335616438357</v>
      </c>
      <c r="J151" s="1356">
        <f>H151+I151</f>
        <v>3998.0606576154573</v>
      </c>
      <c r="K151" s="1354">
        <f>E151*J151</f>
        <v>19990.303288077288</v>
      </c>
      <c r="L151" s="1353">
        <f>IF(K151&gt;0,K151,0)</f>
        <v>19990.303288077288</v>
      </c>
      <c r="M151" s="1353">
        <f>IF(K151&lt;0,K151,0)</f>
        <v>0</v>
      </c>
    </row>
    <row r="152" spans="1:13" s="1227" customFormat="1" ht="14.25" customHeight="1">
      <c r="A152" s="1449" t="s">
        <v>1027</v>
      </c>
      <c r="B152" s="1285" t="s">
        <v>1028</v>
      </c>
      <c r="C152" s="1351">
        <f>'Table 5B1_RSD_Orleans'!C60</f>
        <v>150</v>
      </c>
      <c r="D152" s="1355">
        <f>'[15]RSD-NO'!$AD27</f>
        <v>137</v>
      </c>
      <c r="E152" s="1352">
        <f>D152-C152</f>
        <v>-13</v>
      </c>
      <c r="F152" s="1352">
        <f>IF(E152&gt;0,E152,0)</f>
        <v>0</v>
      </c>
      <c r="G152" s="1352">
        <f>IF(E152&lt;0,E152,0)</f>
        <v>-13</v>
      </c>
      <c r="H152" s="1356">
        <f>'Table 5B1_RSD_Orleans'!D60</f>
        <v>3252.0270959716217</v>
      </c>
      <c r="I152" s="1356">
        <f>'Table 5B1_RSD_Orleans'!F60</f>
        <v>746.0335616438357</v>
      </c>
      <c r="J152" s="1356">
        <f>H152+I152</f>
        <v>3998.0606576154573</v>
      </c>
      <c r="K152" s="1354">
        <f>E152*J152</f>
        <v>-51974.788549000943</v>
      </c>
      <c r="L152" s="1353">
        <f>IF(K152&gt;0,K152,0)</f>
        <v>0</v>
      </c>
      <c r="M152" s="1353">
        <f>IF(K152&lt;0,K152,0)</f>
        <v>-51974.788549000943</v>
      </c>
    </row>
    <row r="153" spans="1:13" s="1227" customFormat="1" ht="14.25" customHeight="1">
      <c r="A153" s="1199" t="s">
        <v>1029</v>
      </c>
      <c r="B153" s="1288" t="s">
        <v>1030</v>
      </c>
      <c r="C153" s="1357">
        <f>'Table 5B1_RSD_Orleans'!C20</f>
        <v>240</v>
      </c>
      <c r="D153" s="1358">
        <f>'[15]RSD-NO'!$AD28</f>
        <v>311</v>
      </c>
      <c r="E153" s="1359">
        <f t="shared" si="41"/>
        <v>71</v>
      </c>
      <c r="F153" s="1359">
        <f t="shared" si="42"/>
        <v>71</v>
      </c>
      <c r="G153" s="1359">
        <f t="shared" si="43"/>
        <v>0</v>
      </c>
      <c r="H153" s="1361">
        <f>'Table 5B1_RSD_Orleans'!D20</f>
        <v>3252.0270959716217</v>
      </c>
      <c r="I153" s="1361">
        <f>'Table 5B1_RSD_Orleans'!F20</f>
        <v>746.0335616438357</v>
      </c>
      <c r="J153" s="1361">
        <f t="shared" si="44"/>
        <v>3998.0606576154573</v>
      </c>
      <c r="K153" s="1362">
        <f t="shared" si="45"/>
        <v>283862.30669069744</v>
      </c>
      <c r="L153" s="1361">
        <f t="shared" si="46"/>
        <v>283862.30669069744</v>
      </c>
      <c r="M153" s="1361">
        <f t="shared" si="47"/>
        <v>0</v>
      </c>
    </row>
    <row r="154" spans="1:13" s="1227" customFormat="1" ht="14.25" customHeight="1">
      <c r="A154" s="1449" t="s">
        <v>1031</v>
      </c>
      <c r="B154" s="1285" t="s">
        <v>1032</v>
      </c>
      <c r="C154" s="1351">
        <f>'Table 5B1_RSD_Orleans'!C21</f>
        <v>330</v>
      </c>
      <c r="D154" s="1351">
        <f>'[15]RSD-NO'!$AD29</f>
        <v>380</v>
      </c>
      <c r="E154" s="1352">
        <f t="shared" si="41"/>
        <v>50</v>
      </c>
      <c r="F154" s="1352">
        <f t="shared" si="42"/>
        <v>50</v>
      </c>
      <c r="G154" s="1352">
        <f t="shared" si="43"/>
        <v>0</v>
      </c>
      <c r="H154" s="1353">
        <f>'Table 5B1_RSD_Orleans'!D21</f>
        <v>3252.0270959716217</v>
      </c>
      <c r="I154" s="1353">
        <f>'Table 5B1_RSD_Orleans'!F21</f>
        <v>746.0335616438357</v>
      </c>
      <c r="J154" s="1353">
        <f t="shared" si="44"/>
        <v>3998.0606576154573</v>
      </c>
      <c r="K154" s="1354">
        <f t="shared" si="45"/>
        <v>199903.03288077287</v>
      </c>
      <c r="L154" s="1353">
        <f t="shared" si="46"/>
        <v>199903.03288077287</v>
      </c>
      <c r="M154" s="1353">
        <f t="shared" si="47"/>
        <v>0</v>
      </c>
    </row>
    <row r="155" spans="1:13" ht="14.25" customHeight="1">
      <c r="A155" s="1449" t="s">
        <v>1033</v>
      </c>
      <c r="B155" s="1285" t="s">
        <v>1034</v>
      </c>
      <c r="C155" s="1351">
        <f>'Table 5B1_RSD_Orleans'!C22</f>
        <v>196</v>
      </c>
      <c r="D155" s="1351">
        <f>'[15]RSD-NO'!$AD30</f>
        <v>313</v>
      </c>
      <c r="E155" s="1352">
        <f t="shared" si="41"/>
        <v>117</v>
      </c>
      <c r="F155" s="1352">
        <f t="shared" si="42"/>
        <v>117</v>
      </c>
      <c r="G155" s="1352">
        <f t="shared" si="43"/>
        <v>0</v>
      </c>
      <c r="H155" s="1353">
        <f>'Table 5B1_RSD_Orleans'!D22</f>
        <v>3252.0270959716217</v>
      </c>
      <c r="I155" s="1353">
        <f>'Table 5B1_RSD_Orleans'!F22</f>
        <v>746.0335616438357</v>
      </c>
      <c r="J155" s="1353">
        <f t="shared" si="44"/>
        <v>3998.0606576154573</v>
      </c>
      <c r="K155" s="1354">
        <f t="shared" si="45"/>
        <v>467773.09694100852</v>
      </c>
      <c r="L155" s="1353">
        <f t="shared" si="46"/>
        <v>467773.09694100852</v>
      </c>
      <c r="M155" s="1353">
        <f t="shared" si="47"/>
        <v>0</v>
      </c>
    </row>
    <row r="156" spans="1:13" ht="14.25" customHeight="1">
      <c r="A156" s="1449" t="s">
        <v>1035</v>
      </c>
      <c r="B156" s="1285" t="s">
        <v>1036</v>
      </c>
      <c r="C156" s="1351">
        <f>'Table 5B1_RSD_Orleans'!C23</f>
        <v>202</v>
      </c>
      <c r="D156" s="1355">
        <f>'[15]RSD-NO'!$AD31</f>
        <v>248</v>
      </c>
      <c r="E156" s="1352">
        <f t="shared" si="41"/>
        <v>46</v>
      </c>
      <c r="F156" s="1352">
        <f t="shared" si="42"/>
        <v>46</v>
      </c>
      <c r="G156" s="1352">
        <f t="shared" si="43"/>
        <v>0</v>
      </c>
      <c r="H156" s="1356">
        <f>'Table 5B1_RSD_Orleans'!D23</f>
        <v>3252.0270959716217</v>
      </c>
      <c r="I156" s="1356">
        <f>'Table 5B1_RSD_Orleans'!F23</f>
        <v>746.0335616438357</v>
      </c>
      <c r="J156" s="1356">
        <f t="shared" si="44"/>
        <v>3998.0606576154573</v>
      </c>
      <c r="K156" s="1354">
        <f t="shared" si="45"/>
        <v>183910.79025031102</v>
      </c>
      <c r="L156" s="1356">
        <f t="shared" si="46"/>
        <v>183910.79025031102</v>
      </c>
      <c r="M156" s="1356">
        <f t="shared" si="47"/>
        <v>0</v>
      </c>
    </row>
    <row r="157" spans="1:13" ht="14.25" customHeight="1">
      <c r="A157" s="1449" t="s">
        <v>1037</v>
      </c>
      <c r="B157" s="1285" t="s">
        <v>1038</v>
      </c>
      <c r="C157" s="1351">
        <f>'Table 5B1_RSD_Orleans'!C24</f>
        <v>186</v>
      </c>
      <c r="D157" s="1355">
        <f>'[15]RSD-NO'!$AD32</f>
        <v>206</v>
      </c>
      <c r="E157" s="1352">
        <f t="shared" si="41"/>
        <v>20</v>
      </c>
      <c r="F157" s="1352">
        <f t="shared" si="42"/>
        <v>20</v>
      </c>
      <c r="G157" s="1352">
        <f t="shared" si="43"/>
        <v>0</v>
      </c>
      <c r="H157" s="1356">
        <f>'Table 5B1_RSD_Orleans'!D24</f>
        <v>3252.0270959716217</v>
      </c>
      <c r="I157" s="1356">
        <f>'Table 5B1_RSD_Orleans'!F24</f>
        <v>926.66296296296309</v>
      </c>
      <c r="J157" s="1356">
        <f t="shared" si="44"/>
        <v>4178.6900589345851</v>
      </c>
      <c r="K157" s="1354">
        <f t="shared" si="45"/>
        <v>83573.801178691705</v>
      </c>
      <c r="L157" s="1356">
        <f t="shared" si="46"/>
        <v>83573.801178691705</v>
      </c>
      <c r="M157" s="1356">
        <f t="shared" si="47"/>
        <v>0</v>
      </c>
    </row>
    <row r="158" spans="1:13" ht="14.25" customHeight="1">
      <c r="A158" s="1199" t="s">
        <v>1039</v>
      </c>
      <c r="B158" s="1288" t="s">
        <v>1040</v>
      </c>
      <c r="C158" s="1357">
        <f>'Table 5B1_RSD_Orleans'!C25</f>
        <v>366</v>
      </c>
      <c r="D158" s="1358">
        <f>'[15]RSD-NO'!$AD33</f>
        <v>419</v>
      </c>
      <c r="E158" s="1359">
        <f t="shared" si="41"/>
        <v>53</v>
      </c>
      <c r="F158" s="1359">
        <f t="shared" si="42"/>
        <v>53</v>
      </c>
      <c r="G158" s="1359">
        <f t="shared" si="43"/>
        <v>0</v>
      </c>
      <c r="H158" s="1361">
        <f>'Table 5B1_RSD_Orleans'!D25</f>
        <v>3252.0270959716217</v>
      </c>
      <c r="I158" s="1361">
        <f>'Table 5B1_RSD_Orleans'!F25</f>
        <v>744.77798165137619</v>
      </c>
      <c r="J158" s="1361">
        <f t="shared" si="44"/>
        <v>3996.8050776229979</v>
      </c>
      <c r="K158" s="1362">
        <f t="shared" si="45"/>
        <v>211830.66911401888</v>
      </c>
      <c r="L158" s="1361">
        <f t="shared" si="46"/>
        <v>211830.66911401888</v>
      </c>
      <c r="M158" s="1361">
        <f t="shared" si="47"/>
        <v>0</v>
      </c>
    </row>
    <row r="159" spans="1:13" ht="14.25" customHeight="1">
      <c r="A159" s="1449" t="s">
        <v>1041</v>
      </c>
      <c r="B159" s="1285" t="s">
        <v>1042</v>
      </c>
      <c r="C159" s="1351">
        <f>'Table 5B1_RSD_Orleans'!C26</f>
        <v>216</v>
      </c>
      <c r="D159" s="1351">
        <f>'[15]RSD-NO'!$AD34</f>
        <v>307</v>
      </c>
      <c r="E159" s="1352">
        <f t="shared" si="41"/>
        <v>91</v>
      </c>
      <c r="F159" s="1352">
        <f t="shared" si="42"/>
        <v>91</v>
      </c>
      <c r="G159" s="1352">
        <f t="shared" si="43"/>
        <v>0</v>
      </c>
      <c r="H159" s="1353">
        <f>'Table 5B1_RSD_Orleans'!D26</f>
        <v>3252.0270959716217</v>
      </c>
      <c r="I159" s="1353">
        <f>'Table 5B1_RSD_Orleans'!F26</f>
        <v>743.65689655172423</v>
      </c>
      <c r="J159" s="1353">
        <f t="shared" si="44"/>
        <v>3995.6839925233462</v>
      </c>
      <c r="K159" s="1354">
        <f t="shared" si="45"/>
        <v>363607.24331962451</v>
      </c>
      <c r="L159" s="1353">
        <f t="shared" si="46"/>
        <v>363607.24331962451</v>
      </c>
      <c r="M159" s="1353">
        <f t="shared" si="47"/>
        <v>0</v>
      </c>
    </row>
    <row r="160" spans="1:13" ht="14.25" customHeight="1">
      <c r="A160" s="1449" t="s">
        <v>1043</v>
      </c>
      <c r="B160" s="1285" t="s">
        <v>1044</v>
      </c>
      <c r="C160" s="1351">
        <f>'Table 5B1_RSD_Orleans'!C27</f>
        <v>243</v>
      </c>
      <c r="D160" s="1351">
        <f>'[15]RSD-NO'!$AD35</f>
        <v>334</v>
      </c>
      <c r="E160" s="1352">
        <f t="shared" si="41"/>
        <v>91</v>
      </c>
      <c r="F160" s="1352">
        <f t="shared" si="42"/>
        <v>91</v>
      </c>
      <c r="G160" s="1352">
        <f t="shared" si="43"/>
        <v>0</v>
      </c>
      <c r="H160" s="1353">
        <f>'Table 5B1_RSD_Orleans'!D27</f>
        <v>3252.0270959716217</v>
      </c>
      <c r="I160" s="1353">
        <f>'Table 5B1_RSD_Orleans'!F27</f>
        <v>783.54939759036142</v>
      </c>
      <c r="J160" s="1353">
        <f t="shared" si="44"/>
        <v>4035.5764935619832</v>
      </c>
      <c r="K160" s="1354">
        <f t="shared" si="45"/>
        <v>367237.46091414045</v>
      </c>
      <c r="L160" s="1353">
        <f t="shared" si="46"/>
        <v>367237.46091414045</v>
      </c>
      <c r="M160" s="1353">
        <f t="shared" si="47"/>
        <v>0</v>
      </c>
    </row>
    <row r="161" spans="1:13" ht="14.25" customHeight="1">
      <c r="A161" s="1449" t="s">
        <v>1045</v>
      </c>
      <c r="B161" s="1285" t="s">
        <v>1046</v>
      </c>
      <c r="C161" s="1351">
        <f>'Table 5B1_RSD_Orleans'!C28</f>
        <v>241</v>
      </c>
      <c r="D161" s="1355">
        <f>'[15]RSD-NO'!$AD36</f>
        <v>251</v>
      </c>
      <c r="E161" s="1352">
        <f t="shared" si="41"/>
        <v>10</v>
      </c>
      <c r="F161" s="1352">
        <f t="shared" si="42"/>
        <v>10</v>
      </c>
      <c r="G161" s="1352">
        <f t="shared" si="43"/>
        <v>0</v>
      </c>
      <c r="H161" s="1356">
        <f>'Table 5B1_RSD_Orleans'!D28</f>
        <v>3252.0270959716217</v>
      </c>
      <c r="I161" s="1356">
        <f>'Table 5B1_RSD_Orleans'!F28</f>
        <v>762.07037037037037</v>
      </c>
      <c r="J161" s="1356">
        <f t="shared" si="44"/>
        <v>4014.097466341992</v>
      </c>
      <c r="K161" s="1354">
        <f t="shared" si="45"/>
        <v>40140.974663419918</v>
      </c>
      <c r="L161" s="1356">
        <f t="shared" si="46"/>
        <v>40140.974663419918</v>
      </c>
      <c r="M161" s="1356">
        <f t="shared" si="47"/>
        <v>0</v>
      </c>
    </row>
    <row r="162" spans="1:13" ht="14.25" customHeight="1">
      <c r="A162" s="1449" t="s">
        <v>1047</v>
      </c>
      <c r="B162" s="1285" t="s">
        <v>1048</v>
      </c>
      <c r="C162" s="1351">
        <f>'Table 5B1_RSD_Orleans'!C29</f>
        <v>520</v>
      </c>
      <c r="D162" s="1355">
        <f>'[15]RSD-NO'!$AD37</f>
        <v>562</v>
      </c>
      <c r="E162" s="1352">
        <f t="shared" si="41"/>
        <v>42</v>
      </c>
      <c r="F162" s="1352">
        <f t="shared" si="42"/>
        <v>42</v>
      </c>
      <c r="G162" s="1352">
        <f t="shared" si="43"/>
        <v>0</v>
      </c>
      <c r="H162" s="1356">
        <f>'Table 5B1_RSD_Orleans'!D29</f>
        <v>3252.0270959716217</v>
      </c>
      <c r="I162" s="1356">
        <f>'Table 5B1_RSD_Orleans'!F29</f>
        <v>735.82244897959185</v>
      </c>
      <c r="J162" s="1356">
        <f t="shared" si="44"/>
        <v>3987.8495449512138</v>
      </c>
      <c r="K162" s="1354">
        <f t="shared" si="45"/>
        <v>167489.68088795099</v>
      </c>
      <c r="L162" s="1356">
        <f t="shared" si="46"/>
        <v>167489.68088795099</v>
      </c>
      <c r="M162" s="1356">
        <f t="shared" si="47"/>
        <v>0</v>
      </c>
    </row>
    <row r="163" spans="1:13" ht="14.25" customHeight="1">
      <c r="A163" s="1199" t="s">
        <v>1049</v>
      </c>
      <c r="B163" s="1288" t="s">
        <v>1050</v>
      </c>
      <c r="C163" s="1357">
        <f>'Table 5B1_RSD_Orleans'!C30</f>
        <v>601</v>
      </c>
      <c r="D163" s="1358">
        <f>'[15]RSD-NO'!$AD38</f>
        <v>817</v>
      </c>
      <c r="E163" s="1359">
        <f t="shared" si="41"/>
        <v>216</v>
      </c>
      <c r="F163" s="1359">
        <f t="shared" si="42"/>
        <v>216</v>
      </c>
      <c r="G163" s="1359">
        <f t="shared" si="43"/>
        <v>0</v>
      </c>
      <c r="H163" s="1361">
        <f>'Table 5B1_RSD_Orleans'!D30</f>
        <v>3252.0270959716217</v>
      </c>
      <c r="I163" s="1361">
        <f>'Table 5B1_RSD_Orleans'!F30</f>
        <v>618.75651162790689</v>
      </c>
      <c r="J163" s="1361">
        <f t="shared" si="44"/>
        <v>3870.7836075995288</v>
      </c>
      <c r="K163" s="1362">
        <f t="shared" si="45"/>
        <v>836089.25924149819</v>
      </c>
      <c r="L163" s="1361">
        <f t="shared" si="46"/>
        <v>836089.25924149819</v>
      </c>
      <c r="M163" s="1361">
        <f t="shared" si="47"/>
        <v>0</v>
      </c>
    </row>
    <row r="164" spans="1:13" ht="14.25" customHeight="1">
      <c r="A164" s="1449" t="s">
        <v>1051</v>
      </c>
      <c r="B164" s="1285" t="s">
        <v>1052</v>
      </c>
      <c r="C164" s="1351">
        <f>'Table 5B1_RSD_Orleans'!C31</f>
        <v>596</v>
      </c>
      <c r="D164" s="1351">
        <f>'[15]RSD-NO'!$AD39</f>
        <v>617</v>
      </c>
      <c r="E164" s="1352">
        <f t="shared" si="41"/>
        <v>21</v>
      </c>
      <c r="F164" s="1352">
        <f t="shared" si="42"/>
        <v>21</v>
      </c>
      <c r="G164" s="1352">
        <f t="shared" si="43"/>
        <v>0</v>
      </c>
      <c r="H164" s="1353">
        <f>'Table 5B1_RSD_Orleans'!D31</f>
        <v>3252.0270959716217</v>
      </c>
      <c r="I164" s="1353">
        <f>'Table 5B1_RSD_Orleans'!F31</f>
        <v>679.69448058280273</v>
      </c>
      <c r="J164" s="1353">
        <f t="shared" si="44"/>
        <v>3931.7215765544242</v>
      </c>
      <c r="K164" s="1354">
        <f t="shared" si="45"/>
        <v>82566.153107642909</v>
      </c>
      <c r="L164" s="1353">
        <f t="shared" si="46"/>
        <v>82566.153107642909</v>
      </c>
      <c r="M164" s="1353">
        <f t="shared" si="47"/>
        <v>0</v>
      </c>
    </row>
    <row r="165" spans="1:13" ht="14.25" customHeight="1">
      <c r="A165" s="1449" t="s">
        <v>1053</v>
      </c>
      <c r="B165" s="1285" t="s">
        <v>1054</v>
      </c>
      <c r="C165" s="1351">
        <f>'Table 5B1_RSD_Orleans'!C32</f>
        <v>553</v>
      </c>
      <c r="D165" s="1351">
        <f>'[15]RSD-NO'!$AD40</f>
        <v>556</v>
      </c>
      <c r="E165" s="1352">
        <f t="shared" si="41"/>
        <v>3</v>
      </c>
      <c r="F165" s="1352">
        <f t="shared" si="42"/>
        <v>3</v>
      </c>
      <c r="G165" s="1352">
        <f t="shared" si="43"/>
        <v>0</v>
      </c>
      <c r="H165" s="1353">
        <f>'Table 5B1_RSD_Orleans'!D32</f>
        <v>3252.0270959716217</v>
      </c>
      <c r="I165" s="1353">
        <f>'Table 5B1_RSD_Orleans'!F32</f>
        <v>708.2132751810401</v>
      </c>
      <c r="J165" s="1353">
        <f t="shared" si="44"/>
        <v>3960.2403711526617</v>
      </c>
      <c r="K165" s="1354">
        <f t="shared" si="45"/>
        <v>11880.721113457985</v>
      </c>
      <c r="L165" s="1353">
        <f t="shared" si="46"/>
        <v>11880.721113457985</v>
      </c>
      <c r="M165" s="1353">
        <f t="shared" si="47"/>
        <v>0</v>
      </c>
    </row>
    <row r="166" spans="1:13" ht="14.25" customHeight="1">
      <c r="A166" s="1449" t="s">
        <v>1055</v>
      </c>
      <c r="B166" s="1285" t="s">
        <v>1056</v>
      </c>
      <c r="C166" s="1351">
        <f>'Table 5B1_RSD_Orleans'!C34</f>
        <v>595</v>
      </c>
      <c r="D166" s="1355">
        <f>'[15]RSD-NO'!$AD41</f>
        <v>674</v>
      </c>
      <c r="E166" s="1352">
        <f t="shared" si="41"/>
        <v>79</v>
      </c>
      <c r="F166" s="1352">
        <f t="shared" si="42"/>
        <v>79</v>
      </c>
      <c r="G166" s="1352">
        <f t="shared" si="43"/>
        <v>0</v>
      </c>
      <c r="H166" s="1356">
        <f>'Table 5B1_RSD_Orleans'!D34</f>
        <v>3252.0270959716217</v>
      </c>
      <c r="I166" s="1356">
        <f>'Table 5B1_RSD_Orleans'!F34</f>
        <v>650.55234865477053</v>
      </c>
      <c r="J166" s="1356">
        <f t="shared" si="44"/>
        <v>3902.5794446263922</v>
      </c>
      <c r="K166" s="1354">
        <f t="shared" si="45"/>
        <v>308303.77612548496</v>
      </c>
      <c r="L166" s="1356">
        <f t="shared" si="46"/>
        <v>308303.77612548496</v>
      </c>
      <c r="M166" s="1356">
        <f t="shared" si="47"/>
        <v>0</v>
      </c>
    </row>
    <row r="167" spans="1:13" ht="14.25" customHeight="1">
      <c r="A167" s="1449" t="s">
        <v>1057</v>
      </c>
      <c r="B167" s="1285" t="s">
        <v>1058</v>
      </c>
      <c r="C167" s="1351">
        <f>'Table 5B1_RSD_Orleans'!C35</f>
        <v>665</v>
      </c>
      <c r="D167" s="1355">
        <f>'[15]RSD-NO'!$AD42</f>
        <v>640</v>
      </c>
      <c r="E167" s="1352">
        <f t="shared" si="41"/>
        <v>-25</v>
      </c>
      <c r="F167" s="1352">
        <f t="shared" si="42"/>
        <v>0</v>
      </c>
      <c r="G167" s="1352">
        <f t="shared" si="43"/>
        <v>-25</v>
      </c>
      <c r="H167" s="1356">
        <f>'Table 5B1_RSD_Orleans'!D35</f>
        <v>3252.0270959716217</v>
      </c>
      <c r="I167" s="1356">
        <f>'Table 5B1_RSD_Orleans'!F35</f>
        <v>721.28337970262919</v>
      </c>
      <c r="J167" s="1356">
        <f t="shared" si="44"/>
        <v>3973.3104756742509</v>
      </c>
      <c r="K167" s="1354">
        <f t="shared" si="45"/>
        <v>-99332.76189185628</v>
      </c>
      <c r="L167" s="1356">
        <f t="shared" si="46"/>
        <v>0</v>
      </c>
      <c r="M167" s="1356">
        <f t="shared" si="47"/>
        <v>-99332.76189185628</v>
      </c>
    </row>
    <row r="168" spans="1:13" ht="14.25" customHeight="1">
      <c r="A168" s="1199" t="s">
        <v>1059</v>
      </c>
      <c r="B168" s="1288" t="s">
        <v>1060</v>
      </c>
      <c r="C168" s="1357">
        <f>'Table 5B1_RSD_Orleans'!C36</f>
        <v>402</v>
      </c>
      <c r="D168" s="1357">
        <f>'[15]RSD-NO'!$AD43</f>
        <v>400</v>
      </c>
      <c r="E168" s="1359">
        <f t="shared" si="41"/>
        <v>-2</v>
      </c>
      <c r="F168" s="1359">
        <f t="shared" si="42"/>
        <v>0</v>
      </c>
      <c r="G168" s="1359">
        <f t="shared" si="43"/>
        <v>-2</v>
      </c>
      <c r="H168" s="1360">
        <f>'Table 5B1_RSD_Orleans'!D36</f>
        <v>3252.0270959716217</v>
      </c>
      <c r="I168" s="1360">
        <f>'Table 5B1_RSD_Orleans'!F36</f>
        <v>600.21655982905986</v>
      </c>
      <c r="J168" s="1360">
        <f t="shared" si="44"/>
        <v>3852.2436558006816</v>
      </c>
      <c r="K168" s="1362">
        <f t="shared" si="45"/>
        <v>-7704.4873116013632</v>
      </c>
      <c r="L168" s="1360">
        <f t="shared" si="46"/>
        <v>0</v>
      </c>
      <c r="M168" s="1360">
        <f t="shared" si="47"/>
        <v>-7704.4873116013632</v>
      </c>
    </row>
    <row r="169" spans="1:13" ht="14.25" customHeight="1">
      <c r="A169" s="1449" t="s">
        <v>1061</v>
      </c>
      <c r="B169" s="1285" t="s">
        <v>1062</v>
      </c>
      <c r="C169" s="1351">
        <f>'Table 5B1_RSD_Orleans'!C37</f>
        <v>769</v>
      </c>
      <c r="D169" s="1351">
        <f>'[15]RSD-NO'!$AD44</f>
        <v>779</v>
      </c>
      <c r="E169" s="1352">
        <f t="shared" si="41"/>
        <v>10</v>
      </c>
      <c r="F169" s="1352">
        <f t="shared" si="42"/>
        <v>10</v>
      </c>
      <c r="G169" s="1352">
        <f t="shared" si="43"/>
        <v>0</v>
      </c>
      <c r="H169" s="1353">
        <f>'Table 5B1_RSD_Orleans'!D37</f>
        <v>3252.0270959716217</v>
      </c>
      <c r="I169" s="1353">
        <f>'Table 5B1_RSD_Orleans'!F37</f>
        <v>776.90344307346322</v>
      </c>
      <c r="J169" s="1353">
        <f t="shared" si="44"/>
        <v>4028.930539045085</v>
      </c>
      <c r="K169" s="1354">
        <f t="shared" si="45"/>
        <v>40289.305390450849</v>
      </c>
      <c r="L169" s="1353">
        <f t="shared" si="46"/>
        <v>40289.305390450849</v>
      </c>
      <c r="M169" s="1353">
        <f t="shared" si="47"/>
        <v>0</v>
      </c>
    </row>
    <row r="170" spans="1:13" ht="14.25" customHeight="1">
      <c r="A170" s="1449" t="s">
        <v>1063</v>
      </c>
      <c r="B170" s="1285" t="s">
        <v>1064</v>
      </c>
      <c r="C170" s="1351">
        <f>'Table 5B1_RSD_Orleans'!C38</f>
        <v>401</v>
      </c>
      <c r="D170" s="1355">
        <f>'[15]RSD-NO'!$AD45</f>
        <v>421</v>
      </c>
      <c r="E170" s="1352">
        <f t="shared" si="41"/>
        <v>20</v>
      </c>
      <c r="F170" s="1352">
        <f t="shared" si="42"/>
        <v>20</v>
      </c>
      <c r="G170" s="1352">
        <f t="shared" si="43"/>
        <v>0</v>
      </c>
      <c r="H170" s="1356">
        <f>'Table 5B1_RSD_Orleans'!D38</f>
        <v>3252.0270959716217</v>
      </c>
      <c r="I170" s="1356">
        <f>'Table 5B1_RSD_Orleans'!F38</f>
        <v>642.89065513553726</v>
      </c>
      <c r="J170" s="1356">
        <f t="shared" si="44"/>
        <v>3894.9177511071589</v>
      </c>
      <c r="K170" s="1354">
        <f t="shared" si="45"/>
        <v>77898.35502214318</v>
      </c>
      <c r="L170" s="1356">
        <f t="shared" si="46"/>
        <v>77898.35502214318</v>
      </c>
      <c r="M170" s="1356">
        <f t="shared" si="47"/>
        <v>0</v>
      </c>
    </row>
    <row r="171" spans="1:13" ht="14.25" customHeight="1">
      <c r="A171" s="1449" t="s">
        <v>1065</v>
      </c>
      <c r="B171" s="1285" t="s">
        <v>1066</v>
      </c>
      <c r="C171" s="1351">
        <f>'Table 5B1_RSD_Orleans'!C39</f>
        <v>505</v>
      </c>
      <c r="D171" s="1355">
        <f>'[15]RSD-NO'!$AD46</f>
        <v>488</v>
      </c>
      <c r="E171" s="1352">
        <f t="shared" si="41"/>
        <v>-17</v>
      </c>
      <c r="F171" s="1352">
        <f t="shared" si="42"/>
        <v>0</v>
      </c>
      <c r="G171" s="1352">
        <f t="shared" si="43"/>
        <v>-17</v>
      </c>
      <c r="H171" s="1356">
        <f>'Table 5B1_RSD_Orleans'!D39</f>
        <v>3252.0270959716217</v>
      </c>
      <c r="I171" s="1356">
        <f>'Table 5B1_RSD_Orleans'!F39</f>
        <v>594.39059133489468</v>
      </c>
      <c r="J171" s="1356">
        <f t="shared" si="44"/>
        <v>3846.4176873065162</v>
      </c>
      <c r="K171" s="1354">
        <f t="shared" si="45"/>
        <v>-65389.100684210774</v>
      </c>
      <c r="L171" s="1356">
        <f t="shared" si="46"/>
        <v>0</v>
      </c>
      <c r="M171" s="1356">
        <f t="shared" si="47"/>
        <v>-65389.100684210774</v>
      </c>
    </row>
    <row r="172" spans="1:13" ht="14.25" customHeight="1">
      <c r="A172" s="1449" t="s">
        <v>1067</v>
      </c>
      <c r="B172" s="1285" t="s">
        <v>1068</v>
      </c>
      <c r="C172" s="1351">
        <f>'Table 5B1_RSD_Orleans'!C40</f>
        <v>601</v>
      </c>
      <c r="D172" s="1355">
        <f>'[15]RSD-NO'!$AD47</f>
        <v>642</v>
      </c>
      <c r="E172" s="1352">
        <f t="shared" si="41"/>
        <v>41</v>
      </c>
      <c r="F172" s="1352">
        <f t="shared" si="42"/>
        <v>41</v>
      </c>
      <c r="G172" s="1352">
        <f t="shared" si="43"/>
        <v>0</v>
      </c>
      <c r="H172" s="1356">
        <f>'Table 5B1_RSD_Orleans'!D40</f>
        <v>3252.0270959716217</v>
      </c>
      <c r="I172" s="1356">
        <f>'Table 5B1_RSD_Orleans'!F40</f>
        <v>678.38194087511556</v>
      </c>
      <c r="J172" s="1356">
        <f t="shared" si="44"/>
        <v>3930.4090368467373</v>
      </c>
      <c r="K172" s="1354">
        <f t="shared" si="45"/>
        <v>161146.77051071622</v>
      </c>
      <c r="L172" s="1356">
        <f t="shared" si="46"/>
        <v>161146.77051071622</v>
      </c>
      <c r="M172" s="1356">
        <f t="shared" si="47"/>
        <v>0</v>
      </c>
    </row>
    <row r="173" spans="1:13" ht="14.25" customHeight="1">
      <c r="A173" s="1199" t="s">
        <v>1069</v>
      </c>
      <c r="B173" s="1288" t="s">
        <v>1070</v>
      </c>
      <c r="C173" s="1357">
        <f>'Table 5B1_RSD_Orleans'!C41</f>
        <v>577</v>
      </c>
      <c r="D173" s="1357">
        <f>'[15]RSD-NO'!$AD48</f>
        <v>607</v>
      </c>
      <c r="E173" s="1359">
        <f t="shared" si="41"/>
        <v>30</v>
      </c>
      <c r="F173" s="1359">
        <f t="shared" si="42"/>
        <v>30</v>
      </c>
      <c r="G173" s="1359">
        <f t="shared" si="43"/>
        <v>0</v>
      </c>
      <c r="H173" s="1360">
        <f>'Table 5B1_RSD_Orleans'!D41</f>
        <v>3252.0270959716217</v>
      </c>
      <c r="I173" s="1360">
        <f>'Table 5B1_RSD_Orleans'!F41</f>
        <v>686.92241021135874</v>
      </c>
      <c r="J173" s="1360">
        <f t="shared" si="44"/>
        <v>3938.9495061829803</v>
      </c>
      <c r="K173" s="1362">
        <f t="shared" si="45"/>
        <v>118168.48518548941</v>
      </c>
      <c r="L173" s="1360">
        <f t="shared" si="46"/>
        <v>118168.48518548941</v>
      </c>
      <c r="M173" s="1360">
        <f t="shared" si="47"/>
        <v>0</v>
      </c>
    </row>
    <row r="174" spans="1:13" ht="14.25" customHeight="1">
      <c r="A174" s="1449" t="s">
        <v>1071</v>
      </c>
      <c r="B174" s="1285" t="s">
        <v>1072</v>
      </c>
      <c r="C174" s="1351">
        <f>'Table 5B1_RSD_Orleans'!C42</f>
        <v>446</v>
      </c>
      <c r="D174" s="1351">
        <f>'[15]RSD-NO'!$AD49</f>
        <v>626</v>
      </c>
      <c r="E174" s="1352">
        <f t="shared" si="41"/>
        <v>180</v>
      </c>
      <c r="F174" s="1352">
        <f t="shared" si="42"/>
        <v>180</v>
      </c>
      <c r="G174" s="1352">
        <f t="shared" si="43"/>
        <v>0</v>
      </c>
      <c r="H174" s="1353">
        <f>'Table 5B1_RSD_Orleans'!D42</f>
        <v>3252.0270959716217</v>
      </c>
      <c r="I174" s="1353">
        <f>'Table 5B1_RSD_Orleans'!F42</f>
        <v>761.3587570202327</v>
      </c>
      <c r="J174" s="1353">
        <f t="shared" si="44"/>
        <v>4013.3858529918543</v>
      </c>
      <c r="K174" s="1354">
        <f t="shared" si="45"/>
        <v>722409.45353853377</v>
      </c>
      <c r="L174" s="1353">
        <f t="shared" si="46"/>
        <v>722409.45353853377</v>
      </c>
      <c r="M174" s="1353">
        <f t="shared" si="47"/>
        <v>0</v>
      </c>
    </row>
    <row r="175" spans="1:13" ht="14.25" customHeight="1">
      <c r="A175" s="1449" t="s">
        <v>1073</v>
      </c>
      <c r="B175" s="1285" t="s">
        <v>1074</v>
      </c>
      <c r="C175" s="1351">
        <f>'Table 5B1_RSD_Orleans'!C43</f>
        <v>505</v>
      </c>
      <c r="D175" s="1355">
        <f>'[15]RSD-NO'!$AD50</f>
        <v>488</v>
      </c>
      <c r="E175" s="1352">
        <f t="shared" si="41"/>
        <v>-17</v>
      </c>
      <c r="F175" s="1352">
        <f t="shared" si="42"/>
        <v>0</v>
      </c>
      <c r="G175" s="1352">
        <f t="shared" si="43"/>
        <v>-17</v>
      </c>
      <c r="H175" s="1356">
        <f>'Table 5B1_RSD_Orleans'!D43</f>
        <v>3252.0270959716217</v>
      </c>
      <c r="I175" s="1356">
        <f>'Table 5B1_RSD_Orleans'!F43</f>
        <v>1003.4698393033485</v>
      </c>
      <c r="J175" s="1356">
        <f t="shared" si="44"/>
        <v>4255.4969352749704</v>
      </c>
      <c r="K175" s="1354">
        <f t="shared" si="45"/>
        <v>-72343.447899674502</v>
      </c>
      <c r="L175" s="1356">
        <f t="shared" si="46"/>
        <v>0</v>
      </c>
      <c r="M175" s="1356">
        <f t="shared" si="47"/>
        <v>-72343.447899674502</v>
      </c>
    </row>
    <row r="176" spans="1:13" ht="14.25" customHeight="1">
      <c r="A176" s="1449" t="s">
        <v>1075</v>
      </c>
      <c r="B176" s="1285" t="s">
        <v>1076</v>
      </c>
      <c r="C176" s="1351">
        <f>'Table 5B1_RSD_Orleans'!C44</f>
        <v>881</v>
      </c>
      <c r="D176" s="1355">
        <f>'[15]RSD-NO'!$AD51</f>
        <v>890</v>
      </c>
      <c r="E176" s="1352">
        <f t="shared" si="41"/>
        <v>9</v>
      </c>
      <c r="F176" s="1352">
        <f t="shared" si="42"/>
        <v>9</v>
      </c>
      <c r="G176" s="1352">
        <f t="shared" si="43"/>
        <v>0</v>
      </c>
      <c r="H176" s="1356">
        <f>'Table 5B1_RSD_Orleans'!D44</f>
        <v>3252.0270959716217</v>
      </c>
      <c r="I176" s="1356">
        <f>'Table 5B1_RSD_Orleans'!F44</f>
        <v>592.05529010815155</v>
      </c>
      <c r="J176" s="1356">
        <f t="shared" si="44"/>
        <v>3844.0823860797732</v>
      </c>
      <c r="K176" s="1354">
        <f t="shared" si="45"/>
        <v>34596.741474717957</v>
      </c>
      <c r="L176" s="1356">
        <f t="shared" si="46"/>
        <v>34596.741474717957</v>
      </c>
      <c r="M176" s="1356">
        <f t="shared" si="47"/>
        <v>0</v>
      </c>
    </row>
    <row r="177" spans="1:13" ht="14.25" customHeight="1">
      <c r="A177" s="1449" t="s">
        <v>1077</v>
      </c>
      <c r="B177" s="1285" t="s">
        <v>1078</v>
      </c>
      <c r="C177" s="1351">
        <f>'Table 5B1_RSD_Orleans'!C45</f>
        <v>322</v>
      </c>
      <c r="D177" s="1355">
        <f>'[15]RSD-NO'!$AD52</f>
        <v>290</v>
      </c>
      <c r="E177" s="1352">
        <f t="shared" si="41"/>
        <v>-32</v>
      </c>
      <c r="F177" s="1352">
        <f t="shared" si="42"/>
        <v>0</v>
      </c>
      <c r="G177" s="1352">
        <f t="shared" si="43"/>
        <v>-32</v>
      </c>
      <c r="H177" s="1356">
        <f>'Table 5B1_RSD_Orleans'!D45</f>
        <v>3252.0270959716217</v>
      </c>
      <c r="I177" s="1356">
        <f>'Table 5B1_RSD_Orleans'!F45</f>
        <v>907.69666061705993</v>
      </c>
      <c r="J177" s="1356">
        <f t="shared" si="44"/>
        <v>4159.7237565886817</v>
      </c>
      <c r="K177" s="1354">
        <f t="shared" si="45"/>
        <v>-133111.16021083781</v>
      </c>
      <c r="L177" s="1356">
        <f t="shared" si="46"/>
        <v>0</v>
      </c>
      <c r="M177" s="1356">
        <f t="shared" si="47"/>
        <v>-133111.16021083781</v>
      </c>
    </row>
    <row r="178" spans="1:13" ht="14.25" customHeight="1">
      <c r="A178" s="1199" t="s">
        <v>1079</v>
      </c>
      <c r="B178" s="1288" t="s">
        <v>1080</v>
      </c>
      <c r="C178" s="1357">
        <f>'Table 5B1_RSD_Orleans'!C46</f>
        <v>402</v>
      </c>
      <c r="D178" s="1357">
        <f>'[15]RSD-NO'!$AD53</f>
        <v>476</v>
      </c>
      <c r="E178" s="1359">
        <f t="shared" si="41"/>
        <v>74</v>
      </c>
      <c r="F178" s="1359">
        <f t="shared" si="42"/>
        <v>74</v>
      </c>
      <c r="G178" s="1359">
        <f t="shared" si="43"/>
        <v>0</v>
      </c>
      <c r="H178" s="1360">
        <f>'Table 5B1_RSD_Orleans'!D46</f>
        <v>3252.0270959716217</v>
      </c>
      <c r="I178" s="1360">
        <f>'Table 5B1_RSD_Orleans'!F46</f>
        <v>741.72363820787723</v>
      </c>
      <c r="J178" s="1360">
        <f t="shared" si="44"/>
        <v>3993.750734179499</v>
      </c>
      <c r="K178" s="1362">
        <f t="shared" si="45"/>
        <v>295537.55432928295</v>
      </c>
      <c r="L178" s="1360">
        <f t="shared" si="46"/>
        <v>295537.55432928295</v>
      </c>
      <c r="M178" s="1360">
        <f t="shared" si="47"/>
        <v>0</v>
      </c>
    </row>
    <row r="179" spans="1:13" ht="14.25" customHeight="1">
      <c r="A179" s="1449" t="s">
        <v>1081</v>
      </c>
      <c r="B179" s="1285" t="s">
        <v>1082</v>
      </c>
      <c r="C179" s="1351">
        <f>'Table 5B1_RSD_Orleans'!C47</f>
        <v>351</v>
      </c>
      <c r="D179" s="1351">
        <f>'[15]RSD-NO'!$AD54</f>
        <v>478</v>
      </c>
      <c r="E179" s="1352">
        <f t="shared" si="41"/>
        <v>127</v>
      </c>
      <c r="F179" s="1352">
        <f t="shared" si="42"/>
        <v>127</v>
      </c>
      <c r="G179" s="1352">
        <f t="shared" si="43"/>
        <v>0</v>
      </c>
      <c r="H179" s="1353">
        <f>'Table 5B1_RSD_Orleans'!D47</f>
        <v>3252.0270959716217</v>
      </c>
      <c r="I179" s="1353">
        <f>'Table 5B1_RSD_Orleans'!F47</f>
        <v>643.94778836855926</v>
      </c>
      <c r="J179" s="1353">
        <f t="shared" si="44"/>
        <v>3895.9748843401812</v>
      </c>
      <c r="K179" s="1354">
        <f t="shared" si="45"/>
        <v>494788.81031120301</v>
      </c>
      <c r="L179" s="1353">
        <f t="shared" si="46"/>
        <v>494788.81031120301</v>
      </c>
      <c r="M179" s="1353">
        <f t="shared" si="47"/>
        <v>0</v>
      </c>
    </row>
    <row r="180" spans="1:13" ht="14.25" customHeight="1">
      <c r="A180" s="1449" t="s">
        <v>1083</v>
      </c>
      <c r="B180" s="1285" t="s">
        <v>1084</v>
      </c>
      <c r="C180" s="1351">
        <f>'Table 5B1_RSD_Orleans'!C48</f>
        <v>462</v>
      </c>
      <c r="D180" s="1355">
        <f>'[15]RSD-NO'!$AD55</f>
        <v>557</v>
      </c>
      <c r="E180" s="1352">
        <f t="shared" si="41"/>
        <v>95</v>
      </c>
      <c r="F180" s="1352">
        <f t="shared" si="42"/>
        <v>95</v>
      </c>
      <c r="G180" s="1352">
        <f t="shared" si="43"/>
        <v>0</v>
      </c>
      <c r="H180" s="1356">
        <f>'Table 5B1_RSD_Orleans'!D48</f>
        <v>3252.0270959716217</v>
      </c>
      <c r="I180" s="1356">
        <f>'Table 5B1_RSD_Orleans'!F48</f>
        <v>724.79250196607131</v>
      </c>
      <c r="J180" s="1356">
        <f t="shared" si="44"/>
        <v>3976.8195979376933</v>
      </c>
      <c r="K180" s="1354">
        <f t="shared" si="45"/>
        <v>377797.86180408084</v>
      </c>
      <c r="L180" s="1356">
        <f t="shared" si="46"/>
        <v>377797.86180408084</v>
      </c>
      <c r="M180" s="1356">
        <f t="shared" si="47"/>
        <v>0</v>
      </c>
    </row>
    <row r="181" spans="1:13" ht="14.25" customHeight="1">
      <c r="A181" s="1449" t="s">
        <v>1085</v>
      </c>
      <c r="B181" s="1285" t="s">
        <v>1086</v>
      </c>
      <c r="C181" s="1351">
        <f>'Table 5B1_RSD_Orleans'!C49</f>
        <v>379</v>
      </c>
      <c r="D181" s="1355">
        <f>'[15]RSD-NO'!$AD56</f>
        <v>397</v>
      </c>
      <c r="E181" s="1352">
        <f t="shared" si="41"/>
        <v>18</v>
      </c>
      <c r="F181" s="1352">
        <f t="shared" si="42"/>
        <v>18</v>
      </c>
      <c r="G181" s="1352">
        <f t="shared" si="43"/>
        <v>0</v>
      </c>
      <c r="H181" s="1356">
        <f>'Table 5B1_RSD_Orleans'!D49</f>
        <v>3252.0270959716217</v>
      </c>
      <c r="I181" s="1356">
        <f>'Table 5B1_RSD_Orleans'!F49</f>
        <v>592.5310423197493</v>
      </c>
      <c r="J181" s="1356">
        <f t="shared" si="44"/>
        <v>3844.5581382913711</v>
      </c>
      <c r="K181" s="1354">
        <f t="shared" si="45"/>
        <v>69202.046489244676</v>
      </c>
      <c r="L181" s="1356">
        <f t="shared" si="46"/>
        <v>69202.046489244676</v>
      </c>
      <c r="M181" s="1356">
        <f t="shared" si="47"/>
        <v>0</v>
      </c>
    </row>
    <row r="182" spans="1:13" ht="14.25" customHeight="1">
      <c r="A182" s="1449" t="s">
        <v>1087</v>
      </c>
      <c r="B182" s="1285" t="s">
        <v>1088</v>
      </c>
      <c r="C182" s="1351">
        <f>'Table 5B1_RSD_Orleans'!C50</f>
        <v>301</v>
      </c>
      <c r="D182" s="1355">
        <f>'[15]RSD-NO'!$AD57</f>
        <v>421</v>
      </c>
      <c r="E182" s="1352">
        <f t="shared" si="41"/>
        <v>120</v>
      </c>
      <c r="F182" s="1352">
        <f t="shared" si="42"/>
        <v>120</v>
      </c>
      <c r="G182" s="1352">
        <f t="shared" si="43"/>
        <v>0</v>
      </c>
      <c r="H182" s="1356">
        <f>'Table 5B1_RSD_Orleans'!D50</f>
        <v>3252.0270959716217</v>
      </c>
      <c r="I182" s="1356">
        <f>'Table 5B1_RSD_Orleans'!F50</f>
        <v>741.31578947368428</v>
      </c>
      <c r="J182" s="1356">
        <f t="shared" si="44"/>
        <v>3993.3428854453059</v>
      </c>
      <c r="K182" s="1354">
        <f t="shared" si="45"/>
        <v>479201.14625343669</v>
      </c>
      <c r="L182" s="1356">
        <f t="shared" si="46"/>
        <v>479201.14625343669</v>
      </c>
      <c r="M182" s="1356">
        <f t="shared" si="47"/>
        <v>0</v>
      </c>
    </row>
    <row r="183" spans="1:13" ht="13.5" customHeight="1">
      <c r="A183" s="1199" t="s">
        <v>1089</v>
      </c>
      <c r="B183" s="1288" t="s">
        <v>1090</v>
      </c>
      <c r="C183" s="1357">
        <f>'Table 5B1_RSD_Orleans'!C51</f>
        <v>141</v>
      </c>
      <c r="D183" s="1357">
        <f>'[15]RSD-NO'!$AD58</f>
        <v>296</v>
      </c>
      <c r="E183" s="1359">
        <f t="shared" si="41"/>
        <v>155</v>
      </c>
      <c r="F183" s="1359">
        <f t="shared" si="42"/>
        <v>155</v>
      </c>
      <c r="G183" s="1359">
        <f t="shared" si="43"/>
        <v>0</v>
      </c>
      <c r="H183" s="1360">
        <f>'Table 5B1_RSD_Orleans'!D51</f>
        <v>3252.0270959716217</v>
      </c>
      <c r="I183" s="1360">
        <f>'Table 5B1_RSD_Orleans'!F51</f>
        <v>746.0335616438357</v>
      </c>
      <c r="J183" s="1360">
        <f t="shared" si="44"/>
        <v>3998.0606576154573</v>
      </c>
      <c r="K183" s="1362">
        <f t="shared" si="45"/>
        <v>619699.40193039586</v>
      </c>
      <c r="L183" s="1360">
        <f t="shared" si="46"/>
        <v>619699.40193039586</v>
      </c>
      <c r="M183" s="1360">
        <f t="shared" si="47"/>
        <v>0</v>
      </c>
    </row>
    <row r="184" spans="1:13" ht="13.5" customHeight="1">
      <c r="A184" s="1449" t="s">
        <v>1091</v>
      </c>
      <c r="B184" s="1285" t="s">
        <v>1092</v>
      </c>
      <c r="C184" s="1351">
        <f>'Table 5B1_RSD_Orleans'!C52</f>
        <v>105</v>
      </c>
      <c r="D184" s="1351">
        <f>'[15]RSD-NO'!$AD59</f>
        <v>313</v>
      </c>
      <c r="E184" s="1352">
        <f t="shared" si="41"/>
        <v>208</v>
      </c>
      <c r="F184" s="1352">
        <f t="shared" si="42"/>
        <v>208</v>
      </c>
      <c r="G184" s="1352">
        <f t="shared" si="43"/>
        <v>0</v>
      </c>
      <c r="H184" s="1353">
        <f>'Table 5B1_RSD_Orleans'!D52</f>
        <v>3252.0270959716217</v>
      </c>
      <c r="I184" s="1353">
        <f>'Table 5B1_RSD_Orleans'!F52</f>
        <v>746.0335616438357</v>
      </c>
      <c r="J184" s="1353">
        <f t="shared" si="44"/>
        <v>3998.0606576154573</v>
      </c>
      <c r="K184" s="1354">
        <f t="shared" si="45"/>
        <v>831596.61678401509</v>
      </c>
      <c r="L184" s="1353">
        <f t="shared" si="46"/>
        <v>831596.61678401509</v>
      </c>
      <c r="M184" s="1353">
        <f t="shared" si="47"/>
        <v>0</v>
      </c>
    </row>
    <row r="185" spans="1:13" ht="13.5" customHeight="1">
      <c r="A185" s="1449" t="s">
        <v>1093</v>
      </c>
      <c r="B185" s="1285" t="s">
        <v>1094</v>
      </c>
      <c r="C185" s="1351">
        <f>'Table 5B1_RSD_Orleans'!C53</f>
        <v>492</v>
      </c>
      <c r="D185" s="1355">
        <f>'[15]RSD-NO'!$AD60</f>
        <v>518</v>
      </c>
      <c r="E185" s="1352">
        <f t="shared" si="41"/>
        <v>26</v>
      </c>
      <c r="F185" s="1352">
        <f t="shared" si="42"/>
        <v>26</v>
      </c>
      <c r="G185" s="1352">
        <f t="shared" si="43"/>
        <v>0</v>
      </c>
      <c r="H185" s="1356">
        <f>'Table 5B1_RSD_Orleans'!D53</f>
        <v>3252.0270959716217</v>
      </c>
      <c r="I185" s="1356">
        <f>'Table 5B1_RSD_Orleans'!F53</f>
        <v>752.85062142702634</v>
      </c>
      <c r="J185" s="1356">
        <f t="shared" si="44"/>
        <v>4004.8777173986482</v>
      </c>
      <c r="K185" s="1354">
        <f t="shared" si="45"/>
        <v>104126.82065236486</v>
      </c>
      <c r="L185" s="1356">
        <f t="shared" si="46"/>
        <v>104126.82065236486</v>
      </c>
      <c r="M185" s="1356">
        <f t="shared" si="47"/>
        <v>0</v>
      </c>
    </row>
    <row r="186" spans="1:13" ht="13.5" customHeight="1">
      <c r="A186" s="1186" t="s">
        <v>1095</v>
      </c>
      <c r="B186" s="1285" t="s">
        <v>1096</v>
      </c>
      <c r="C186" s="1351">
        <f>'Table 5B1_RSD_Orleans'!C54</f>
        <v>318</v>
      </c>
      <c r="D186" s="1355">
        <f>'[15]RSD-NO'!$AD61</f>
        <v>426</v>
      </c>
      <c r="E186" s="1352">
        <f t="shared" si="41"/>
        <v>108</v>
      </c>
      <c r="F186" s="1352">
        <f t="shared" si="42"/>
        <v>108</v>
      </c>
      <c r="G186" s="1352">
        <f t="shared" si="43"/>
        <v>0</v>
      </c>
      <c r="H186" s="1356">
        <f>'Table 5B1_RSD_Orleans'!D54</f>
        <v>3252.0270959716217</v>
      </c>
      <c r="I186" s="1356">
        <f>'Table 5B1_RSD_Orleans'!F54</f>
        <v>803.97152919927748</v>
      </c>
      <c r="J186" s="1356">
        <f t="shared" si="44"/>
        <v>4055.9986251708992</v>
      </c>
      <c r="K186" s="1354">
        <f t="shared" si="45"/>
        <v>438047.85151845712</v>
      </c>
      <c r="L186" s="1356">
        <f t="shared" si="46"/>
        <v>438047.85151845712</v>
      </c>
      <c r="M186" s="1356">
        <f t="shared" si="47"/>
        <v>0</v>
      </c>
    </row>
    <row r="187" spans="1:13" ht="13.5" customHeight="1">
      <c r="A187" s="1186" t="s">
        <v>1097</v>
      </c>
      <c r="B187" s="1285" t="s">
        <v>1098</v>
      </c>
      <c r="C187" s="1351">
        <f>'Table 5B1_RSD_Orleans'!C56</f>
        <v>371</v>
      </c>
      <c r="D187" s="1355">
        <f>'[15]RSD-NO'!$AD62</f>
        <v>436</v>
      </c>
      <c r="E187" s="1352">
        <f>D187-C187</f>
        <v>65</v>
      </c>
      <c r="F187" s="1352">
        <f>IF(E187&gt;0,E187,0)</f>
        <v>65</v>
      </c>
      <c r="G187" s="1352">
        <f>IF(E187&lt;0,E187,0)</f>
        <v>0</v>
      </c>
      <c r="H187" s="1356">
        <f>'Table 5B1_RSD_Orleans'!D56</f>
        <v>3252.0270959716217</v>
      </c>
      <c r="I187" s="1356">
        <f>'Table 5B1_RSD_Orleans'!F56</f>
        <v>746.0335616438357</v>
      </c>
      <c r="J187" s="1356">
        <f>H187+I187</f>
        <v>3998.0606576154573</v>
      </c>
      <c r="K187" s="1354">
        <f>E187*J187</f>
        <v>259873.94274500472</v>
      </c>
      <c r="L187" s="1353">
        <f>IF(K187&gt;0,K187,0)</f>
        <v>259873.94274500472</v>
      </c>
      <c r="M187" s="1353">
        <f>IF(K187&lt;0,K187,0)</f>
        <v>0</v>
      </c>
    </row>
    <row r="188" spans="1:13" ht="13.5" customHeight="1">
      <c r="A188" s="1192" t="s">
        <v>1099</v>
      </c>
      <c r="B188" s="1310" t="s">
        <v>1100</v>
      </c>
      <c r="C188" s="1357">
        <f>'Table 5B1_RSD_Orleans'!C55</f>
        <v>414</v>
      </c>
      <c r="D188" s="1358">
        <f>'[15]RSD-NO'!$AD63</f>
        <v>421</v>
      </c>
      <c r="E188" s="1359">
        <f t="shared" si="41"/>
        <v>7</v>
      </c>
      <c r="F188" s="1359">
        <f t="shared" si="42"/>
        <v>7</v>
      </c>
      <c r="G188" s="1359">
        <f t="shared" si="43"/>
        <v>0</v>
      </c>
      <c r="H188" s="1361">
        <f>'Table 5B1_RSD_Orleans'!D55</f>
        <v>3252.0270959716217</v>
      </c>
      <c r="I188" s="1361">
        <f>'Table 5B1_RSD_Orleans'!F55</f>
        <v>746.0335616438357</v>
      </c>
      <c r="J188" s="1361">
        <f t="shared" si="44"/>
        <v>3998.0606576154573</v>
      </c>
      <c r="K188" s="1362">
        <f t="shared" si="45"/>
        <v>27986.424603308202</v>
      </c>
      <c r="L188" s="1361">
        <f t="shared" si="46"/>
        <v>27986.424603308202</v>
      </c>
      <c r="M188" s="1361">
        <f t="shared" si="47"/>
        <v>0</v>
      </c>
    </row>
    <row r="189" spans="1:13" s="1204" customFormat="1" ht="15.75" thickBot="1">
      <c r="A189" s="1369"/>
      <c r="B189" s="1201" t="s">
        <v>1101</v>
      </c>
      <c r="C189" s="1370">
        <f>SUM(C139:C188)</f>
        <v>20145</v>
      </c>
      <c r="D189" s="1370">
        <f>SUM(D139:D188)</f>
        <v>22505</v>
      </c>
      <c r="E189" s="1370">
        <f>SUM(E139:E188)</f>
        <v>2360</v>
      </c>
      <c r="F189" s="1370">
        <f>SUM(F139:F188)</f>
        <v>2577</v>
      </c>
      <c r="G189" s="1370">
        <f>SUM(G139:G188)</f>
        <v>-217</v>
      </c>
      <c r="H189" s="1371"/>
      <c r="I189" s="1371"/>
      <c r="J189" s="1371"/>
      <c r="K189" s="1371">
        <f>SUM(K139:K188)</f>
        <v>9379398.1600597445</v>
      </c>
      <c r="L189" s="1371">
        <f>SUM(L139:L188)</f>
        <v>10254643.572731189</v>
      </c>
      <c r="M189" s="1371">
        <f>SUM(M139:M188)</f>
        <v>-875245.41267144401</v>
      </c>
    </row>
    <row r="190" spans="1:13" ht="6.75" customHeight="1" thickTop="1">
      <c r="A190" s="1282"/>
      <c r="B190" s="1314"/>
      <c r="C190" s="1446"/>
      <c r="D190" s="1446"/>
      <c r="E190" s="1447"/>
      <c r="F190" s="1447"/>
      <c r="G190" s="1447"/>
      <c r="H190" s="1448"/>
      <c r="I190" s="1448"/>
      <c r="J190" s="1448"/>
      <c r="K190" s="1448"/>
      <c r="L190" s="1448"/>
      <c r="M190" s="1448"/>
    </row>
    <row r="191" spans="1:13" ht="14.25" customHeight="1">
      <c r="A191" s="1197" t="s">
        <v>1102</v>
      </c>
      <c r="B191" s="1317" t="s">
        <v>1103</v>
      </c>
      <c r="C191" s="1367">
        <f>'Table 5B2_RSD_LA'!C10</f>
        <v>422</v>
      </c>
      <c r="D191" s="1367">
        <f>'[15]RSD-LA'!$AD15</f>
        <v>363</v>
      </c>
      <c r="E191" s="1450">
        <f t="shared" ref="E191:E196" si="48">D191-C191</f>
        <v>-59</v>
      </c>
      <c r="F191" s="1450">
        <f t="shared" ref="F191:F196" si="49">IF(E191&gt;0,E191,0)</f>
        <v>0</v>
      </c>
      <c r="G191" s="1450">
        <f t="shared" ref="G191:G196" si="50">IF(E191&lt;0,E191,0)</f>
        <v>-59</v>
      </c>
      <c r="H191" s="1451">
        <f>'Table 5B2_RSD_LA'!D10</f>
        <v>3266.8023094143459</v>
      </c>
      <c r="I191" s="1451">
        <f>'Table 5B2_RSD_LA'!F10</f>
        <v>801.07873942625963</v>
      </c>
      <c r="J191" s="1451">
        <f t="shared" ref="J191:J196" si="51">H191+I191</f>
        <v>4067.8810488406057</v>
      </c>
      <c r="K191" s="1452">
        <f t="shared" ref="K191:K196" si="52">E191*J191</f>
        <v>-240004.98188159574</v>
      </c>
      <c r="L191" s="1451">
        <f t="shared" ref="L191:L196" si="53">IF(K191&gt;0,K191,0)</f>
        <v>0</v>
      </c>
      <c r="M191" s="1353">
        <f t="shared" ref="M191:M196" si="54">IF(K191&lt;0,K191,0)</f>
        <v>-240004.98188159574</v>
      </c>
    </row>
    <row r="192" spans="1:13" ht="14.25" customHeight="1">
      <c r="A192" s="1186" t="s">
        <v>1104</v>
      </c>
      <c r="B192" s="1319" t="s">
        <v>1105</v>
      </c>
      <c r="C192" s="1355">
        <f>'Table 5B2_RSD_LA'!C11</f>
        <v>265</v>
      </c>
      <c r="D192" s="1355">
        <f>'[15]RSD-LA'!$AD16</f>
        <v>287</v>
      </c>
      <c r="E192" s="1453">
        <f t="shared" si="48"/>
        <v>22</v>
      </c>
      <c r="F192" s="1453">
        <f t="shared" si="49"/>
        <v>22</v>
      </c>
      <c r="G192" s="1453">
        <f t="shared" si="50"/>
        <v>0</v>
      </c>
      <c r="H192" s="1356">
        <f>'Table 5B2_RSD_LA'!D11</f>
        <v>3266.8023094143459</v>
      </c>
      <c r="I192" s="1356">
        <f>'Table 5B2_RSD_LA'!F11</f>
        <v>791.44311827956994</v>
      </c>
      <c r="J192" s="1356">
        <f t="shared" si="51"/>
        <v>4058.2454276939161</v>
      </c>
      <c r="K192" s="1354">
        <f t="shared" si="52"/>
        <v>89281.39940926616</v>
      </c>
      <c r="L192" s="1356">
        <f t="shared" si="53"/>
        <v>89281.39940926616</v>
      </c>
      <c r="M192" s="1353">
        <f t="shared" si="54"/>
        <v>0</v>
      </c>
    </row>
    <row r="193" spans="1:13" ht="14.25" customHeight="1">
      <c r="A193" s="1186" t="s">
        <v>1106</v>
      </c>
      <c r="B193" s="1320" t="s">
        <v>1107</v>
      </c>
      <c r="C193" s="1355">
        <f>'Table 5B2_RSD_LA'!C12</f>
        <v>264</v>
      </c>
      <c r="D193" s="1355">
        <f>'[15]RSD-LA'!$AD17</f>
        <v>262</v>
      </c>
      <c r="E193" s="1453">
        <f t="shared" si="48"/>
        <v>-2</v>
      </c>
      <c r="F193" s="1453">
        <f t="shared" si="49"/>
        <v>0</v>
      </c>
      <c r="G193" s="1453">
        <f t="shared" si="50"/>
        <v>-2</v>
      </c>
      <c r="H193" s="1356">
        <f>'Table 5B2_RSD_LA'!D12</f>
        <v>3266.8023094143459</v>
      </c>
      <c r="I193" s="1356">
        <f>'Table 5B2_RSD_LA'!F12</f>
        <v>802.4401357466063</v>
      </c>
      <c r="J193" s="1356">
        <f t="shared" si="51"/>
        <v>4069.2424451609522</v>
      </c>
      <c r="K193" s="1354">
        <f t="shared" si="52"/>
        <v>-8138.4848903219045</v>
      </c>
      <c r="L193" s="1356">
        <f t="shared" si="53"/>
        <v>0</v>
      </c>
      <c r="M193" s="1353">
        <f t="shared" si="54"/>
        <v>-8138.4848903219045</v>
      </c>
    </row>
    <row r="194" spans="1:13" ht="14.25" customHeight="1">
      <c r="A194" s="1186" t="s">
        <v>1108</v>
      </c>
      <c r="B194" s="1320" t="s">
        <v>1109</v>
      </c>
      <c r="C194" s="1355">
        <f>'Table 5B2_RSD_LA'!C13</f>
        <v>331</v>
      </c>
      <c r="D194" s="1355">
        <f>'[15]RSD-LA'!$AD18</f>
        <v>416</v>
      </c>
      <c r="E194" s="1453">
        <f t="shared" si="48"/>
        <v>85</v>
      </c>
      <c r="F194" s="1453">
        <f t="shared" si="49"/>
        <v>85</v>
      </c>
      <c r="G194" s="1453">
        <f t="shared" si="50"/>
        <v>0</v>
      </c>
      <c r="H194" s="1356">
        <f>'Table 5B2_RSD_LA'!D13</f>
        <v>3266.8023094143459</v>
      </c>
      <c r="I194" s="1356">
        <f>'Table 5B2_RSD_LA'!F13</f>
        <v>801.07873942625963</v>
      </c>
      <c r="J194" s="1356">
        <f t="shared" si="51"/>
        <v>4067.8810488406057</v>
      </c>
      <c r="K194" s="1354">
        <f t="shared" si="52"/>
        <v>345769.88915145147</v>
      </c>
      <c r="L194" s="1356">
        <f t="shared" si="53"/>
        <v>345769.88915145147</v>
      </c>
      <c r="M194" s="1353">
        <f t="shared" si="54"/>
        <v>0</v>
      </c>
    </row>
    <row r="195" spans="1:13" ht="14.25" customHeight="1">
      <c r="A195" s="1213" t="s">
        <v>1110</v>
      </c>
      <c r="B195" s="1321" t="s">
        <v>1111</v>
      </c>
      <c r="C195" s="1358">
        <f>'Table 5B2_RSD_LA'!C14</f>
        <v>356</v>
      </c>
      <c r="D195" s="1358">
        <f>'[15]RSD-LA'!$AD19</f>
        <v>404</v>
      </c>
      <c r="E195" s="1454">
        <f t="shared" si="48"/>
        <v>48</v>
      </c>
      <c r="F195" s="1454">
        <f t="shared" si="49"/>
        <v>48</v>
      </c>
      <c r="G195" s="1454">
        <f t="shared" si="50"/>
        <v>0</v>
      </c>
      <c r="H195" s="1361">
        <f>'Table 5B2_RSD_LA'!D14</f>
        <v>3266.8023094143459</v>
      </c>
      <c r="I195" s="1361">
        <f>'Table 5B2_RSD_LA'!F14</f>
        <v>801.07873942625963</v>
      </c>
      <c r="J195" s="1361">
        <f t="shared" si="51"/>
        <v>4067.8810488406057</v>
      </c>
      <c r="K195" s="1362">
        <f t="shared" si="52"/>
        <v>195258.29034434908</v>
      </c>
      <c r="L195" s="1361">
        <f t="shared" si="53"/>
        <v>195258.29034434908</v>
      </c>
      <c r="M195" s="1360">
        <f t="shared" si="54"/>
        <v>0</v>
      </c>
    </row>
    <row r="196" spans="1:13" ht="14.25" customHeight="1">
      <c r="A196" s="1213" t="s">
        <v>1112</v>
      </c>
      <c r="B196" s="1322" t="s">
        <v>1113</v>
      </c>
      <c r="C196" s="1358">
        <f>'Table 5B2_RSD_LA'!C17</f>
        <v>399</v>
      </c>
      <c r="D196" s="1358">
        <f>'[15]RSD-LA'!$AD20</f>
        <v>479</v>
      </c>
      <c r="E196" s="1454">
        <f t="shared" si="48"/>
        <v>80</v>
      </c>
      <c r="F196" s="1454">
        <f t="shared" si="49"/>
        <v>80</v>
      </c>
      <c r="G196" s="1454">
        <f t="shared" si="50"/>
        <v>0</v>
      </c>
      <c r="H196" s="1361">
        <f>'Table 5B2_RSD_LA'!D17</f>
        <v>3266.8023094143459</v>
      </c>
      <c r="I196" s="1361">
        <f>'Table 5B2_RSD_LA'!F17</f>
        <v>801.07873942625963</v>
      </c>
      <c r="J196" s="1361">
        <f t="shared" si="51"/>
        <v>4067.8810488406057</v>
      </c>
      <c r="K196" s="1362">
        <f t="shared" si="52"/>
        <v>325430.48390724848</v>
      </c>
      <c r="L196" s="1361">
        <f t="shared" si="53"/>
        <v>325430.48390724848</v>
      </c>
      <c r="M196" s="1360">
        <f t="shared" si="54"/>
        <v>0</v>
      </c>
    </row>
    <row r="197" spans="1:13" s="1204" customFormat="1" ht="15.75" thickBot="1">
      <c r="A197" s="1369"/>
      <c r="B197" s="1201" t="s">
        <v>1114</v>
      </c>
      <c r="C197" s="1370">
        <f>SUM(C191:C196)</f>
        <v>2037</v>
      </c>
      <c r="D197" s="1370">
        <f>SUM(D191:D196)</f>
        <v>2211</v>
      </c>
      <c r="E197" s="1370">
        <f>SUM(E191:E196)</f>
        <v>174</v>
      </c>
      <c r="F197" s="1370">
        <f>SUM(F191:F196)</f>
        <v>235</v>
      </c>
      <c r="G197" s="1370">
        <f>SUM(G191:G196)</f>
        <v>-61</v>
      </c>
      <c r="H197" s="1371"/>
      <c r="I197" s="1371"/>
      <c r="J197" s="1371"/>
      <c r="K197" s="1371">
        <f>SUM(K191:K196)</f>
        <v>707596.59604039753</v>
      </c>
      <c r="L197" s="1371">
        <f>SUM(L191:L196)</f>
        <v>955740.06281231518</v>
      </c>
      <c r="M197" s="1371">
        <f>SUM(M191:M196)</f>
        <v>-248143.46677191765</v>
      </c>
    </row>
    <row r="198" spans="1:13" ht="6.75" customHeight="1" thickTop="1">
      <c r="A198" s="1282"/>
      <c r="B198" s="1314"/>
      <c r="C198" s="1446"/>
      <c r="D198" s="1446"/>
      <c r="E198" s="1447"/>
      <c r="F198" s="1447"/>
      <c r="G198" s="1447"/>
      <c r="H198" s="1448"/>
      <c r="I198" s="1448"/>
      <c r="J198" s="1448"/>
      <c r="K198" s="1448"/>
      <c r="L198" s="1448"/>
      <c r="M198" s="1448"/>
    </row>
    <row r="199" spans="1:13" ht="14.25" customHeight="1">
      <c r="A199" s="1455">
        <v>377003</v>
      </c>
      <c r="B199" s="1330" t="s">
        <v>1115</v>
      </c>
      <c r="C199" s="1456">
        <f>'Table 5B2_RSD_LA'!C23</f>
        <v>304</v>
      </c>
      <c r="D199" s="1456">
        <f>'[15]RSD-LA'!$AD$22</f>
        <v>302</v>
      </c>
      <c r="E199" s="1457">
        <f>D199-C199</f>
        <v>-2</v>
      </c>
      <c r="F199" s="1457">
        <f>IF(E199&gt;0,E199,0)</f>
        <v>0</v>
      </c>
      <c r="G199" s="1457">
        <f>IF(E199&lt;0,E199,0)</f>
        <v>-2</v>
      </c>
      <c r="H199" s="1458">
        <f>'Table 5B2_RSD_LA'!D23</f>
        <v>3635.3042654739083</v>
      </c>
      <c r="I199" s="1458">
        <f>'Table 5B2_RSD_LA'!F23</f>
        <v>720.25142180094781</v>
      </c>
      <c r="J199" s="1458">
        <f>H199+I199</f>
        <v>4355.5556872748566</v>
      </c>
      <c r="K199" s="1459">
        <f>E199*J199</f>
        <v>-8711.1113745497132</v>
      </c>
      <c r="L199" s="1458">
        <f>IF(K199&gt;0,K199,0)</f>
        <v>0</v>
      </c>
      <c r="M199" s="1458">
        <f>IF(K199&lt;0,K199,0)</f>
        <v>-8711.1113745497132</v>
      </c>
    </row>
    <row r="200" spans="1:13" s="1204" customFormat="1" ht="15.75" thickBot="1">
      <c r="A200" s="1460"/>
      <c r="B200" s="1201" t="s">
        <v>1116</v>
      </c>
      <c r="C200" s="1370">
        <f>SUM(C199)</f>
        <v>304</v>
      </c>
      <c r="D200" s="1370">
        <f t="shared" ref="D200:M200" si="55">SUM(D199)</f>
        <v>302</v>
      </c>
      <c r="E200" s="1370">
        <f t="shared" si="55"/>
        <v>-2</v>
      </c>
      <c r="F200" s="1370">
        <f t="shared" si="55"/>
        <v>0</v>
      </c>
      <c r="G200" s="1370">
        <f t="shared" si="55"/>
        <v>-2</v>
      </c>
      <c r="H200" s="1371"/>
      <c r="I200" s="1371"/>
      <c r="J200" s="1371"/>
      <c r="K200" s="1371">
        <f t="shared" si="55"/>
        <v>-8711.1113745497132</v>
      </c>
      <c r="L200" s="1371">
        <f t="shared" si="55"/>
        <v>0</v>
      </c>
      <c r="M200" s="1371">
        <f t="shared" si="55"/>
        <v>-8711.1113745497132</v>
      </c>
    </row>
    <row r="201" spans="1:13" ht="6.75" customHeight="1" thickTop="1">
      <c r="A201" s="1332"/>
      <c r="B201" s="1314"/>
      <c r="C201" s="1446"/>
      <c r="D201" s="1446"/>
      <c r="E201" s="1447"/>
      <c r="F201" s="1447"/>
      <c r="G201" s="1447"/>
      <c r="H201" s="1448"/>
      <c r="I201" s="1448"/>
      <c r="J201" s="1448"/>
      <c r="K201" s="1448"/>
      <c r="L201" s="1448"/>
      <c r="M201" s="1448"/>
    </row>
    <row r="202" spans="1:13" ht="13.5" customHeight="1">
      <c r="A202" s="1461">
        <v>371001</v>
      </c>
      <c r="B202" s="1259" t="s">
        <v>1117</v>
      </c>
      <c r="C202" s="1462">
        <f>'Table 5B2_RSD_LA'!C29</f>
        <v>444</v>
      </c>
      <c r="D202" s="1462">
        <f>'[15]RSD-LA'!$AD$13</f>
        <v>490</v>
      </c>
      <c r="E202" s="1463">
        <f>D202-C202</f>
        <v>46</v>
      </c>
      <c r="F202" s="1463">
        <f>IF(E202&gt;0,E202,0)</f>
        <v>46</v>
      </c>
      <c r="G202" s="1463">
        <f>IF(E202&lt;0,E202,0)</f>
        <v>0</v>
      </c>
      <c r="H202" s="1366">
        <f>'Table 5B2_RSD_LA'!D29</f>
        <v>4384.9112825532311</v>
      </c>
      <c r="I202" s="1366">
        <f>'Table 5B2_RSD_LA'!F29</f>
        <v>744.76</v>
      </c>
      <c r="J202" s="1366">
        <f>H202+I202</f>
        <v>5129.6712825532313</v>
      </c>
      <c r="K202" s="1362">
        <f>E202*J202</f>
        <v>235964.87899744863</v>
      </c>
      <c r="L202" s="1366">
        <f>IF(K202&gt;0,K202,0)</f>
        <v>235964.87899744863</v>
      </c>
      <c r="M202" s="1366">
        <f>IF(K202&lt;0,K202,0)</f>
        <v>0</v>
      </c>
    </row>
    <row r="203" spans="1:13" s="1204" customFormat="1" ht="15.75" thickBot="1">
      <c r="A203" s="1369"/>
      <c r="B203" s="1201" t="s">
        <v>1118</v>
      </c>
      <c r="C203" s="1370">
        <f>SUM(C202)</f>
        <v>444</v>
      </c>
      <c r="D203" s="1370">
        <f t="shared" ref="D203:M203" si="56">SUM(D202)</f>
        <v>490</v>
      </c>
      <c r="E203" s="1370">
        <f t="shared" si="56"/>
        <v>46</v>
      </c>
      <c r="F203" s="1370">
        <f t="shared" si="56"/>
        <v>46</v>
      </c>
      <c r="G203" s="1370">
        <f t="shared" si="56"/>
        <v>0</v>
      </c>
      <c r="H203" s="1371"/>
      <c r="I203" s="1371"/>
      <c r="J203" s="1371"/>
      <c r="K203" s="1371">
        <f t="shared" si="56"/>
        <v>235964.87899744863</v>
      </c>
      <c r="L203" s="1371">
        <f t="shared" si="56"/>
        <v>235964.87899744863</v>
      </c>
      <c r="M203" s="1371">
        <f t="shared" si="56"/>
        <v>0</v>
      </c>
    </row>
    <row r="204" spans="1:13" ht="6.75" customHeight="1" thickTop="1">
      <c r="A204" s="1282"/>
      <c r="B204" s="1314"/>
      <c r="C204" s="1446"/>
      <c r="D204" s="1446"/>
      <c r="E204" s="1447"/>
      <c r="F204" s="1447"/>
      <c r="G204" s="1447"/>
      <c r="H204" s="1448"/>
      <c r="I204" s="1448"/>
      <c r="J204" s="1448"/>
      <c r="K204" s="1448"/>
      <c r="L204" s="1448"/>
      <c r="M204" s="1448"/>
    </row>
    <row r="205" spans="1:13" s="1204" customFormat="1" ht="15.75" thickBot="1">
      <c r="A205" s="1369"/>
      <c r="B205" s="1201" t="s">
        <v>1119</v>
      </c>
      <c r="C205" s="1370">
        <f>'Table 5E_OJJ'!C76</f>
        <v>330.32457200000005</v>
      </c>
      <c r="D205" s="1370">
        <v>330</v>
      </c>
      <c r="E205" s="1370">
        <f>D205-C205</f>
        <v>-0.32457200000004605</v>
      </c>
      <c r="F205" s="1370">
        <f>IF(E205&gt;0,E205,0)</f>
        <v>0</v>
      </c>
      <c r="G205" s="1370">
        <f>IF(E205&lt;0,E205,0)</f>
        <v>-0.32457200000004605</v>
      </c>
      <c r="H205" s="1371"/>
      <c r="I205" s="1371"/>
      <c r="J205" s="1371"/>
      <c r="K205" s="1371">
        <f>'Oct midyear adj_OJJ'!I75</f>
        <v>0</v>
      </c>
      <c r="L205" s="1366">
        <f>IF(K205&gt;0,K205,0)</f>
        <v>0</v>
      </c>
      <c r="M205" s="1371">
        <f>IF(K205&lt;0,K205,0)</f>
        <v>0</v>
      </c>
    </row>
    <row r="206" spans="1:13" ht="6.75" customHeight="1" thickTop="1">
      <c r="A206" s="1282"/>
      <c r="B206" s="1314"/>
      <c r="C206" s="1446"/>
      <c r="D206" s="1446"/>
      <c r="E206" s="1447"/>
      <c r="F206" s="1447"/>
      <c r="G206" s="1447"/>
      <c r="H206" s="1448"/>
      <c r="I206" s="1448"/>
      <c r="J206" s="1448"/>
      <c r="K206" s="1448"/>
      <c r="L206" s="1448"/>
      <c r="M206" s="1448"/>
    </row>
    <row r="207" spans="1:13" s="1204" customFormat="1" ht="15.75" thickBot="1">
      <c r="A207" s="1369"/>
      <c r="B207" s="1201" t="s">
        <v>1120</v>
      </c>
      <c r="C207" s="1370">
        <f>C75+C79+C82+C85+C95+C99+C105+C111+C119+C123+C127+C130+C137+C189+C197+C200+C203+C205</f>
        <v>670321.32457199995</v>
      </c>
      <c r="D207" s="1370">
        <f>D75+D79+D82+D85+D95+D99+D105+D111+D119+D123+D127+D130+D137+D189+D197+D200+D203+D205</f>
        <v>679395</v>
      </c>
      <c r="E207" s="1370">
        <f>E75+E79+E82+E85+E95+E99+E105+E111+E119+E123+E127+E130+E137+E189+E197+E200+E203+E205</f>
        <v>9073.6754280000005</v>
      </c>
      <c r="F207" s="1370">
        <f>F75+F79+F82+F85+F95+F99+F105+F111+F119+F123+F127+F130+F137+F189+F197+F200+F203+F205</f>
        <v>11691</v>
      </c>
      <c r="G207" s="1370">
        <f>G75+G79+G82+G85+G95+G99+G105+G111+G119+G123+G127+G130+G137+G189+G197+G200+G203+G205</f>
        <v>-2617.324572</v>
      </c>
      <c r="H207" s="1371"/>
      <c r="I207" s="1371"/>
      <c r="J207" s="1371"/>
      <c r="K207" s="1371">
        <f>K75+K79+K82+K85+K95+K99+K105+K111+K119+K123+K127+K130+K137+K189+K197+K200+K203+K205</f>
        <v>42716978.587673128</v>
      </c>
      <c r="L207" s="1371">
        <f>L75+L79+L82+L85+L95+L99+L105+L111+L119+L123+L127+L130+L137+L189+L197+L200+L203+L205</f>
        <v>55489586.700440012</v>
      </c>
      <c r="M207" s="1371">
        <f>M75+M79+M82+M85+M95+M99+M105+M111+M119+M123+M127+M130+M137+M189+M197+M200+M203+M205</f>
        <v>-12772608.112766882</v>
      </c>
    </row>
    <row r="208" spans="1:13" ht="6" customHeight="1" thickTop="1">
      <c r="A208" s="1464"/>
      <c r="I208" s="1465"/>
      <c r="J208" s="1465"/>
    </row>
    <row r="209" spans="1:13" s="1575" customFormat="1" ht="13.5" hidden="1" customHeight="1">
      <c r="A209" s="1892"/>
      <c r="B209" s="1893"/>
      <c r="C209" s="1893"/>
      <c r="D209" s="1893"/>
      <c r="E209" s="1893"/>
      <c r="F209" s="1573"/>
      <c r="G209" s="1573"/>
      <c r="H209" s="1574"/>
      <c r="I209" s="1574"/>
      <c r="J209" s="1574"/>
      <c r="K209" s="1574"/>
      <c r="M209" s="1576"/>
    </row>
    <row r="210" spans="1:13" s="1575" customFormat="1" ht="12" hidden="1" customHeight="1">
      <c r="A210" s="1892" t="s">
        <v>1142</v>
      </c>
      <c r="B210" s="1892"/>
      <c r="C210" s="1892"/>
      <c r="D210" s="1573"/>
      <c r="M210" s="1576"/>
    </row>
    <row r="211" spans="1:13" s="1576" customFormat="1" hidden="1">
      <c r="B211" s="1577" t="s">
        <v>1143</v>
      </c>
      <c r="C211" s="1578">
        <f>C75+C137+C189+C197+C200+C203</f>
        <v>660854</v>
      </c>
      <c r="D211" s="1578">
        <f>D75+D137+D189+D197+D200+D203</f>
        <v>669431</v>
      </c>
      <c r="E211" s="1573"/>
      <c r="H211" s="1574"/>
      <c r="I211" s="1574"/>
      <c r="J211" s="1574"/>
      <c r="K211" s="1579">
        <f>K75+K137+K189+K197+K200+K203</f>
        <v>39765192.517705619</v>
      </c>
    </row>
    <row r="212" spans="1:13" s="1576" customFormat="1" hidden="1">
      <c r="B212" s="1577" t="s">
        <v>1144</v>
      </c>
      <c r="C212" s="1578">
        <f>C95+C99+C105+C111+C119+C123+C127+C130</f>
        <v>7091</v>
      </c>
      <c r="D212" s="1578">
        <f>D99+D95+D105+D111+D119+D123+D127+D130</f>
        <v>7616</v>
      </c>
      <c r="E212" s="1573"/>
      <c r="H212" s="1574"/>
      <c r="I212" s="1574"/>
      <c r="J212" s="1574"/>
      <c r="K212" s="1579">
        <f>K95+K99+K105+K111+K119+K123+K127+K130</f>
        <v>3093143.3042052109</v>
      </c>
    </row>
    <row r="213" spans="1:13" s="1576" customFormat="1" hidden="1">
      <c r="B213" s="1577" t="s">
        <v>1145</v>
      </c>
      <c r="C213" s="1580">
        <f>C79+C82+C85</f>
        <v>2046</v>
      </c>
      <c r="D213" s="1580">
        <f>D79+D82+D85</f>
        <v>2018</v>
      </c>
      <c r="H213" s="1579"/>
      <c r="I213" s="1579"/>
      <c r="J213" s="1579"/>
      <c r="K213" s="1579">
        <f>K79+K82+K85</f>
        <v>-141357.23423769884</v>
      </c>
    </row>
    <row r="214" spans="1:13" s="1576" customFormat="1" hidden="1">
      <c r="B214" s="1577" t="s">
        <v>1146</v>
      </c>
      <c r="C214" s="1581">
        <f>C205</f>
        <v>330.32457200000005</v>
      </c>
      <c r="D214" s="1581">
        <f>D205</f>
        <v>330</v>
      </c>
      <c r="H214" s="1579"/>
      <c r="I214" s="1579"/>
      <c r="J214" s="1579"/>
      <c r="K214" s="1579">
        <f>K205</f>
        <v>0</v>
      </c>
    </row>
    <row r="215" spans="1:13" s="1576" customFormat="1" hidden="1">
      <c r="B215" s="1577" t="s">
        <v>1120</v>
      </c>
      <c r="C215" s="1578">
        <f>SUM(C211:C214)</f>
        <v>670321.32457199995</v>
      </c>
      <c r="D215" s="1582">
        <f>SUM(D211:D214)</f>
        <v>679395</v>
      </c>
      <c r="H215" s="1579"/>
      <c r="I215" s="1579"/>
      <c r="J215" s="1579"/>
      <c r="K215" s="1579">
        <f>SUM(K211:K214)</f>
        <v>42716978.587673128</v>
      </c>
    </row>
    <row r="216" spans="1:13" s="1576" customFormat="1" hidden="1">
      <c r="H216" s="1579"/>
      <c r="I216" s="1583"/>
      <c r="K216" s="1579"/>
    </row>
    <row r="217" spans="1:13" s="1576" customFormat="1" hidden="1">
      <c r="H217" s="1579"/>
      <c r="I217" s="1583"/>
      <c r="K217" s="1579"/>
    </row>
  </sheetData>
  <mergeCells count="15">
    <mergeCell ref="M2:M3"/>
    <mergeCell ref="A209:E209"/>
    <mergeCell ref="A210:C210"/>
    <mergeCell ref="G2:G3"/>
    <mergeCell ref="H2:H3"/>
    <mergeCell ref="I2:I3"/>
    <mergeCell ref="J2:J3"/>
    <mergeCell ref="K2:K3"/>
    <mergeCell ref="L2:L3"/>
    <mergeCell ref="A2:A3"/>
    <mergeCell ref="B2:B3"/>
    <mergeCell ref="C2:C3"/>
    <mergeCell ref="D2:D3"/>
    <mergeCell ref="E2:E3"/>
    <mergeCell ref="F2:F3"/>
  </mergeCells>
  <pageMargins left="0" right="0" top="0.4" bottom="0.4" header="0" footer="0"/>
  <pageSetup paperSize="5" scale="45" orientation="portrait" r:id="rId1"/>
  <headerFooter>
    <oddHeader>&amp;L&amp;"Arial,Bold"&amp;24FY2011-12 MFP Budget Letter: October 1 Mid-year Adjustment for Students</oddHeader>
    <oddFooter>&amp;L&amp;Z&amp;F</oddFooter>
  </headerFooter>
  <rowBreaks count="2" manualBreakCount="2">
    <brk id="100" max="12" man="1"/>
    <brk id="207" max="12" man="1"/>
  </rowBreaks>
</worksheet>
</file>

<file path=xl/worksheets/sheet2.xml><?xml version="1.0" encoding="utf-8"?>
<worksheet xmlns="http://schemas.openxmlformats.org/spreadsheetml/2006/main" xmlns:r="http://schemas.openxmlformats.org/officeDocument/2006/relationships">
  <dimension ref="A1:AA86"/>
  <sheetViews>
    <sheetView view="pageBreakPreview" zoomScaleNormal="75" zoomScaleSheetLayoutView="100" workbookViewId="0">
      <pane xSplit="2" ySplit="6" topLeftCell="C7" activePane="bottomRight" state="frozen"/>
      <selection pane="topRight"/>
      <selection pane="bottomLeft"/>
      <selection pane="bottomRight" activeCell="AD5" sqref="AD5"/>
    </sheetView>
  </sheetViews>
  <sheetFormatPr defaultRowHeight="12.75"/>
  <cols>
    <col min="1" max="1" width="4.7109375" customWidth="1"/>
    <col min="2" max="2" width="17.28515625" customWidth="1"/>
    <col min="3" max="3" width="17.7109375" customWidth="1"/>
    <col min="4" max="4" width="13" customWidth="1"/>
    <col min="5" max="5" width="13.7109375" customWidth="1"/>
    <col min="6" max="6" width="15.5703125" customWidth="1"/>
    <col min="7" max="7" width="11.85546875" customWidth="1"/>
    <col min="8" max="8" width="11.7109375" customWidth="1"/>
    <col min="9" max="9" width="14.42578125" customWidth="1"/>
    <col min="10" max="10" width="14.85546875" customWidth="1"/>
    <col min="11" max="11" width="15.7109375" customWidth="1"/>
    <col min="12" max="12" width="14.42578125" customWidth="1"/>
    <col min="13" max="13" width="13.7109375" customWidth="1"/>
    <col min="14" max="14" width="15" customWidth="1"/>
    <col min="15" max="15" width="11.28515625" customWidth="1"/>
    <col min="16" max="18" width="15.28515625" customWidth="1"/>
    <col min="19" max="19" width="13.42578125" customWidth="1"/>
    <col min="20" max="20" width="15.85546875" customWidth="1"/>
    <col min="21" max="21" width="15.140625" customWidth="1"/>
    <col min="22" max="27" width="0" hidden="1" customWidth="1"/>
  </cols>
  <sheetData>
    <row r="1" spans="1:21" ht="21" customHeight="1">
      <c r="D1" s="1642" t="s">
        <v>155</v>
      </c>
      <c r="E1" s="1643"/>
      <c r="F1" s="1643"/>
      <c r="G1" s="1643"/>
      <c r="H1" s="1644"/>
      <c r="I1" s="1645" t="s">
        <v>156</v>
      </c>
      <c r="J1" s="1646"/>
      <c r="K1" s="1647"/>
    </row>
    <row r="2" spans="1:21" ht="12.75" customHeight="1">
      <c r="A2" s="1648" t="s">
        <v>157</v>
      </c>
      <c r="B2" s="1651" t="s">
        <v>158</v>
      </c>
      <c r="C2" s="1652" t="s">
        <v>159</v>
      </c>
      <c r="D2" s="1655" t="s">
        <v>160</v>
      </c>
      <c r="E2" s="1655" t="s">
        <v>161</v>
      </c>
      <c r="F2" s="1655" t="s">
        <v>162</v>
      </c>
      <c r="G2" s="1658" t="s">
        <v>163</v>
      </c>
      <c r="H2" s="1658"/>
      <c r="I2" s="1659" t="s">
        <v>164</v>
      </c>
      <c r="J2" s="1660" t="s">
        <v>165</v>
      </c>
      <c r="K2" s="1661" t="s">
        <v>166</v>
      </c>
      <c r="L2" s="1638" t="s">
        <v>167</v>
      </c>
      <c r="M2" s="1638" t="s">
        <v>168</v>
      </c>
      <c r="N2" s="1634" t="s">
        <v>169</v>
      </c>
      <c r="O2" s="1639" t="s">
        <v>170</v>
      </c>
      <c r="P2" s="1630" t="s">
        <v>171</v>
      </c>
      <c r="Q2" s="1633" t="s">
        <v>172</v>
      </c>
      <c r="R2" s="1633" t="s">
        <v>173</v>
      </c>
      <c r="S2" s="1634" t="s">
        <v>174</v>
      </c>
      <c r="T2" s="1635" t="s">
        <v>175</v>
      </c>
      <c r="U2" s="1634" t="s">
        <v>176</v>
      </c>
    </row>
    <row r="3" spans="1:21" ht="28.5" customHeight="1">
      <c r="A3" s="1649"/>
      <c r="B3" s="1649"/>
      <c r="C3" s="1653"/>
      <c r="D3" s="1656"/>
      <c r="E3" s="1656"/>
      <c r="F3" s="1656"/>
      <c r="G3" s="1658"/>
      <c r="H3" s="1658"/>
      <c r="I3" s="1656"/>
      <c r="J3" s="1656"/>
      <c r="K3" s="1662"/>
      <c r="L3" s="1638"/>
      <c r="M3" s="1638"/>
      <c r="N3" s="1634"/>
      <c r="O3" s="1640"/>
      <c r="P3" s="1631"/>
      <c r="Q3" s="1633"/>
      <c r="R3" s="1633"/>
      <c r="S3" s="1634"/>
      <c r="T3" s="1636"/>
      <c r="U3" s="1634"/>
    </row>
    <row r="4" spans="1:21" ht="60" customHeight="1">
      <c r="A4" s="1649"/>
      <c r="B4" s="1649"/>
      <c r="C4" s="1653"/>
      <c r="D4" s="1656"/>
      <c r="E4" s="1656"/>
      <c r="F4" s="1656"/>
      <c r="G4" s="1658" t="s">
        <v>177</v>
      </c>
      <c r="H4" s="1658" t="s">
        <v>178</v>
      </c>
      <c r="I4" s="1656"/>
      <c r="J4" s="1656"/>
      <c r="K4" s="1662"/>
      <c r="L4" s="1638"/>
      <c r="M4" s="1638"/>
      <c r="N4" s="1634"/>
      <c r="O4" s="1640"/>
      <c r="P4" s="1631"/>
      <c r="Q4" s="1633"/>
      <c r="R4" s="1633"/>
      <c r="S4" s="1634"/>
      <c r="T4" s="1636"/>
      <c r="U4" s="1634"/>
    </row>
    <row r="5" spans="1:21" ht="64.5" customHeight="1">
      <c r="A5" s="1650"/>
      <c r="B5" s="1650"/>
      <c r="C5" s="1654"/>
      <c r="D5" s="1657"/>
      <c r="E5" s="1657"/>
      <c r="F5" s="1657"/>
      <c r="G5" s="1658"/>
      <c r="H5" s="1658"/>
      <c r="I5" s="1657"/>
      <c r="J5" s="1657"/>
      <c r="K5" s="1663"/>
      <c r="L5" s="1638"/>
      <c r="M5" s="1638"/>
      <c r="N5" s="1634"/>
      <c r="O5" s="1641"/>
      <c r="P5" s="1632"/>
      <c r="Q5" s="1633"/>
      <c r="R5" s="1633"/>
      <c r="S5" s="1634"/>
      <c r="T5" s="1637"/>
      <c r="U5" s="1634"/>
    </row>
    <row r="6" spans="1:21" s="256" customFormat="1">
      <c r="A6" s="253"/>
      <c r="B6" s="254"/>
      <c r="C6" s="255">
        <f t="shared" ref="C6:U6" si="0">B6+1</f>
        <v>1</v>
      </c>
      <c r="D6" s="255">
        <f t="shared" si="0"/>
        <v>2</v>
      </c>
      <c r="E6" s="255">
        <f t="shared" si="0"/>
        <v>3</v>
      </c>
      <c r="F6" s="255">
        <f t="shared" si="0"/>
        <v>4</v>
      </c>
      <c r="G6" s="255">
        <f t="shared" si="0"/>
        <v>5</v>
      </c>
      <c r="H6" s="255">
        <f t="shared" si="0"/>
        <v>6</v>
      </c>
      <c r="I6" s="255">
        <f t="shared" si="0"/>
        <v>7</v>
      </c>
      <c r="J6" s="255">
        <f t="shared" si="0"/>
        <v>8</v>
      </c>
      <c r="K6" s="255">
        <f t="shared" si="0"/>
        <v>9</v>
      </c>
      <c r="L6" s="255">
        <f t="shared" si="0"/>
        <v>10</v>
      </c>
      <c r="M6" s="255">
        <f t="shared" si="0"/>
        <v>11</v>
      </c>
      <c r="N6" s="255">
        <f t="shared" si="0"/>
        <v>12</v>
      </c>
      <c r="O6" s="255">
        <f t="shared" si="0"/>
        <v>13</v>
      </c>
      <c r="P6" s="255">
        <f t="shared" si="0"/>
        <v>14</v>
      </c>
      <c r="Q6" s="255">
        <f t="shared" si="0"/>
        <v>15</v>
      </c>
      <c r="R6" s="255">
        <f t="shared" si="0"/>
        <v>16</v>
      </c>
      <c r="S6" s="255">
        <f t="shared" si="0"/>
        <v>17</v>
      </c>
      <c r="T6" s="255">
        <f t="shared" si="0"/>
        <v>18</v>
      </c>
      <c r="U6" s="255">
        <f t="shared" si="0"/>
        <v>19</v>
      </c>
    </row>
    <row r="7" spans="1:21">
      <c r="A7" s="257">
        <v>1</v>
      </c>
      <c r="B7" s="258" t="s">
        <v>179</v>
      </c>
      <c r="C7" s="259">
        <f>'Table 3 Levels 1&amp;2'!AO8</f>
        <v>49932017.885343999</v>
      </c>
      <c r="D7" s="260">
        <v>0</v>
      </c>
      <c r="E7" s="260">
        <v>-88571.442186174987</v>
      </c>
      <c r="F7" s="260">
        <f>SUM(D7:E7)</f>
        <v>-88571.442186174987</v>
      </c>
      <c r="G7" s="259">
        <f t="shared" ref="G7:G70" si="1">IF(F7&gt;0,F7,0)</f>
        <v>0</v>
      </c>
      <c r="H7" s="260">
        <f>IF(F7&lt;0,F7,0)</f>
        <v>-88571.442186174987</v>
      </c>
      <c r="I7" s="260">
        <f>'October midyear adj'!K6</f>
        <v>1292711.76</v>
      </c>
      <c r="J7" s="260">
        <f>'February midyear adj '!K6</f>
        <v>-212724.71999999997</v>
      </c>
      <c r="K7" s="260">
        <f>I7+J7</f>
        <v>1079987.04</v>
      </c>
      <c r="L7" s="261"/>
      <c r="M7" s="261"/>
      <c r="N7" s="262">
        <f>ROUND(C7+F7+I7+J7+L7+M7,0)</f>
        <v>50923433</v>
      </c>
      <c r="O7" s="263">
        <f>-'[1]FY2011-12 EduJobs Program'!$C5</f>
        <v>-33270</v>
      </c>
      <c r="P7" s="264">
        <f>N7+O7</f>
        <v>50890163</v>
      </c>
      <c r="Q7" s="264">
        <f>[2]MFP!$EG8</f>
        <v>33222313</v>
      </c>
      <c r="R7" s="264">
        <f>P7-Q7</f>
        <v>17667850</v>
      </c>
      <c r="S7" s="259">
        <f>ROUND(R7/4,0)</f>
        <v>4416963</v>
      </c>
      <c r="T7" s="265">
        <f>'Table 4A Stipends'!G4</f>
        <v>0</v>
      </c>
      <c r="U7" s="259">
        <f>P7+T7</f>
        <v>50890163</v>
      </c>
    </row>
    <row r="8" spans="1:21">
      <c r="A8" s="257">
        <v>2</v>
      </c>
      <c r="B8" s="258" t="s">
        <v>180</v>
      </c>
      <c r="C8" s="259">
        <f>'Table 3 Levels 1&amp;2'!AO9</f>
        <v>27837030.263048001</v>
      </c>
      <c r="D8" s="260">
        <v>0</v>
      </c>
      <c r="E8" s="260">
        <v>-36954.346789102012</v>
      </c>
      <c r="F8" s="260">
        <f t="shared" ref="F8:F71" si="2">SUM(D8:E8)</f>
        <v>-36954.346789102012</v>
      </c>
      <c r="G8" s="259">
        <f t="shared" si="1"/>
        <v>0</v>
      </c>
      <c r="H8" s="260">
        <f t="shared" ref="H8:H71" si="3">IF(F8&lt;0,F8,0)</f>
        <v>-36954.346789102012</v>
      </c>
      <c r="I8" s="260">
        <f>'October midyear adj'!K7</f>
        <v>103380.90149683585</v>
      </c>
      <c r="J8" s="260">
        <f>'February midyear adj '!K7</f>
        <v>-130949.14189599208</v>
      </c>
      <c r="K8" s="260">
        <f t="shared" ref="K8:K71" si="4">I8+J8</f>
        <v>-27568.240399156231</v>
      </c>
      <c r="L8" s="261"/>
      <c r="M8" s="261"/>
      <c r="N8" s="262">
        <f t="shared" ref="N8:N71" si="5">ROUND(C8+F8+I8+J8+L8+M8,0)</f>
        <v>27772508</v>
      </c>
      <c r="O8" s="263">
        <f>-'[1]FY2011-12 EduJobs Program'!$C6</f>
        <v>-17916</v>
      </c>
      <c r="P8" s="264">
        <f t="shared" ref="P8:P71" si="6">N8+O8</f>
        <v>27754592</v>
      </c>
      <c r="Q8" s="264">
        <f>[2]MFP!$EG9</f>
        <v>18529801</v>
      </c>
      <c r="R8" s="264">
        <f t="shared" ref="R8:R71" si="7">P8-Q8</f>
        <v>9224791</v>
      </c>
      <c r="S8" s="259">
        <f t="shared" ref="S8:S71" si="8">ROUND(R8/4,0)</f>
        <v>2306198</v>
      </c>
      <c r="T8" s="265">
        <f>'Table 4A Stipends'!G5</f>
        <v>0</v>
      </c>
      <c r="U8" s="259">
        <f t="shared" ref="U8:U71" si="9">P8+T8</f>
        <v>27754592</v>
      </c>
    </row>
    <row r="9" spans="1:21">
      <c r="A9" s="257">
        <v>3</v>
      </c>
      <c r="B9" s="258" t="s">
        <v>181</v>
      </c>
      <c r="C9" s="259">
        <f>'Table 3 Levels 1&amp;2'!AO10</f>
        <v>92109497.640351996</v>
      </c>
      <c r="D9" s="260">
        <v>0</v>
      </c>
      <c r="E9" s="260">
        <v>-23415.466761938435</v>
      </c>
      <c r="F9" s="260">
        <f t="shared" si="2"/>
        <v>-23415.466761938435</v>
      </c>
      <c r="G9" s="259">
        <f t="shared" si="1"/>
        <v>0</v>
      </c>
      <c r="H9" s="260">
        <f t="shared" si="3"/>
        <v>-23415.466761938435</v>
      </c>
      <c r="I9" s="260">
        <f>'October midyear adj'!K8</f>
        <v>2601483.0569170103</v>
      </c>
      <c r="J9" s="260">
        <f>'February midyear adj '!K8</f>
        <v>54295.925870318722</v>
      </c>
      <c r="K9" s="260">
        <f t="shared" si="4"/>
        <v>2655778.9827873292</v>
      </c>
      <c r="L9" s="261"/>
      <c r="M9" s="261"/>
      <c r="N9" s="262">
        <f t="shared" si="5"/>
        <v>94741861</v>
      </c>
      <c r="O9" s="263">
        <f>-'[1]FY2011-12 EduJobs Program'!$C7</f>
        <v>-58389</v>
      </c>
      <c r="P9" s="264">
        <f t="shared" si="6"/>
        <v>94683472</v>
      </c>
      <c r="Q9" s="264">
        <f>[2]MFP!$EG10</f>
        <v>61379043</v>
      </c>
      <c r="R9" s="264">
        <f t="shared" si="7"/>
        <v>33304429</v>
      </c>
      <c r="S9" s="259">
        <f t="shared" si="8"/>
        <v>8326107</v>
      </c>
      <c r="T9" s="265">
        <f>'Table 4A Stipends'!G6</f>
        <v>0</v>
      </c>
      <c r="U9" s="259">
        <f t="shared" si="9"/>
        <v>94683472</v>
      </c>
    </row>
    <row r="10" spans="1:21">
      <c r="A10" s="257">
        <v>4</v>
      </c>
      <c r="B10" s="258" t="s">
        <v>182</v>
      </c>
      <c r="C10" s="259">
        <f>'Table 3 Levels 1&amp;2'!AO11</f>
        <v>23568142.452640001</v>
      </c>
      <c r="D10" s="260">
        <v>0</v>
      </c>
      <c r="E10" s="260">
        <v>-32681.012138689366</v>
      </c>
      <c r="F10" s="260">
        <f t="shared" si="2"/>
        <v>-32681.012138689366</v>
      </c>
      <c r="G10" s="259">
        <f t="shared" si="1"/>
        <v>0</v>
      </c>
      <c r="H10" s="260">
        <f t="shared" si="3"/>
        <v>-32681.012138689366</v>
      </c>
      <c r="I10" s="260">
        <f>'October midyear adj'!K9</f>
        <v>-119298.8065881665</v>
      </c>
      <c r="J10" s="260">
        <f>'February midyear adj '!K9</f>
        <v>82846.393464004504</v>
      </c>
      <c r="K10" s="260">
        <f t="shared" si="4"/>
        <v>-36452.413124161991</v>
      </c>
      <c r="L10" s="261"/>
      <c r="M10" s="261"/>
      <c r="N10" s="262">
        <f t="shared" si="5"/>
        <v>23499009</v>
      </c>
      <c r="O10" s="263">
        <f>-'[1]FY2011-12 EduJobs Program'!$C8</f>
        <v>-15077</v>
      </c>
      <c r="P10" s="264">
        <f t="shared" si="6"/>
        <v>23483932</v>
      </c>
      <c r="Q10" s="264">
        <f>[2]MFP!$EG11</f>
        <v>15687290</v>
      </c>
      <c r="R10" s="264">
        <f t="shared" si="7"/>
        <v>7796642</v>
      </c>
      <c r="S10" s="259">
        <f t="shared" si="8"/>
        <v>1949161</v>
      </c>
      <c r="T10" s="265">
        <f>'Table 4A Stipends'!G7</f>
        <v>16000</v>
      </c>
      <c r="U10" s="259">
        <f t="shared" si="9"/>
        <v>23499932</v>
      </c>
    </row>
    <row r="11" spans="1:21">
      <c r="A11" s="266">
        <v>5</v>
      </c>
      <c r="B11" s="267" t="s">
        <v>183</v>
      </c>
      <c r="C11" s="268">
        <f>'Table 3 Levels 1&amp;2'!AO12</f>
        <v>31543403.201848</v>
      </c>
      <c r="D11" s="269">
        <v>0</v>
      </c>
      <c r="E11" s="269">
        <v>-111885.75005082684</v>
      </c>
      <c r="F11" s="269">
        <f t="shared" si="2"/>
        <v>-111885.75005082684</v>
      </c>
      <c r="G11" s="268">
        <f t="shared" si="1"/>
        <v>0</v>
      </c>
      <c r="H11" s="269">
        <f t="shared" si="3"/>
        <v>-111885.75005082684</v>
      </c>
      <c r="I11" s="269">
        <f>'October midyear adj'!K10</f>
        <v>-413184.87239924993</v>
      </c>
      <c r="J11" s="269">
        <f>'February midyear adj '!K10</f>
        <v>13591.607644712169</v>
      </c>
      <c r="K11" s="269">
        <f t="shared" si="4"/>
        <v>-399593.26475453778</v>
      </c>
      <c r="L11" s="270"/>
      <c r="M11" s="270"/>
      <c r="N11" s="271">
        <f t="shared" si="5"/>
        <v>31031924</v>
      </c>
      <c r="O11" s="272">
        <f>-'[1]FY2011-12 EduJobs Program'!$C9</f>
        <v>-20530</v>
      </c>
      <c r="P11" s="273">
        <f t="shared" si="6"/>
        <v>31011394</v>
      </c>
      <c r="Q11" s="273">
        <f>[2]MFP!$EG12</f>
        <v>20950238</v>
      </c>
      <c r="R11" s="273">
        <f t="shared" si="7"/>
        <v>10061156</v>
      </c>
      <c r="S11" s="268">
        <f t="shared" si="8"/>
        <v>2515289</v>
      </c>
      <c r="T11" s="274">
        <f>'Table 4A Stipends'!G8</f>
        <v>0</v>
      </c>
      <c r="U11" s="268">
        <f t="shared" si="9"/>
        <v>31011394</v>
      </c>
    </row>
    <row r="12" spans="1:21">
      <c r="A12" s="257">
        <v>6</v>
      </c>
      <c r="B12" s="258" t="s">
        <v>184</v>
      </c>
      <c r="C12" s="259">
        <f>'Table 3 Levels 1&amp;2'!AO13</f>
        <v>37341743.566248</v>
      </c>
      <c r="D12" s="260">
        <v>0</v>
      </c>
      <c r="E12" s="260">
        <v>-6116.2687003034698</v>
      </c>
      <c r="F12" s="260">
        <f t="shared" si="2"/>
        <v>-6116.2687003034698</v>
      </c>
      <c r="G12" s="259">
        <f t="shared" si="1"/>
        <v>0</v>
      </c>
      <c r="H12" s="260">
        <f t="shared" si="3"/>
        <v>-6116.2687003034698</v>
      </c>
      <c r="I12" s="260">
        <f>'October midyear adj'!K11</f>
        <v>-352338.91161002085</v>
      </c>
      <c r="J12" s="260">
        <f>'February midyear adj '!K11</f>
        <v>111264.91945579606</v>
      </c>
      <c r="K12" s="260">
        <f t="shared" si="4"/>
        <v>-241073.99215422478</v>
      </c>
      <c r="L12" s="261"/>
      <c r="M12" s="261"/>
      <c r="N12" s="262">
        <f t="shared" si="5"/>
        <v>37094553</v>
      </c>
      <c r="O12" s="263">
        <f>-'[1]FY2011-12 EduJobs Program'!$C10</f>
        <v>-23666</v>
      </c>
      <c r="P12" s="264">
        <f t="shared" si="6"/>
        <v>37070887</v>
      </c>
      <c r="Q12" s="264">
        <f>[2]MFP!$EG13</f>
        <v>24885683</v>
      </c>
      <c r="R12" s="264">
        <f t="shared" si="7"/>
        <v>12185204</v>
      </c>
      <c r="S12" s="259">
        <f t="shared" si="8"/>
        <v>3046301</v>
      </c>
      <c r="T12" s="265">
        <f>'Table 4A Stipends'!G9</f>
        <v>0</v>
      </c>
      <c r="U12" s="259">
        <f t="shared" si="9"/>
        <v>37070887</v>
      </c>
    </row>
    <row r="13" spans="1:21">
      <c r="A13" s="257">
        <v>7</v>
      </c>
      <c r="B13" s="258" t="s">
        <v>185</v>
      </c>
      <c r="C13" s="259">
        <f>'Table 3 Levels 1&amp;2'!AO14</f>
        <v>5055456.75</v>
      </c>
      <c r="D13" s="260">
        <v>3304.1478883472155</v>
      </c>
      <c r="E13" s="260">
        <v>-23748.040039831099</v>
      </c>
      <c r="F13" s="260">
        <f t="shared" si="2"/>
        <v>-20443.892151483884</v>
      </c>
      <c r="G13" s="259">
        <f t="shared" si="1"/>
        <v>0</v>
      </c>
      <c r="H13" s="260">
        <f t="shared" si="3"/>
        <v>-20443.892151483884</v>
      </c>
      <c r="I13" s="260">
        <f>'October midyear adj'!K12</f>
        <v>39047.143748296228</v>
      </c>
      <c r="J13" s="260">
        <f>'February midyear adj '!K12</f>
        <v>-12632.899447978192</v>
      </c>
      <c r="K13" s="260">
        <f t="shared" si="4"/>
        <v>26414.244300318038</v>
      </c>
      <c r="L13" s="261"/>
      <c r="M13" s="261"/>
      <c r="N13" s="262">
        <f t="shared" si="5"/>
        <v>5061427</v>
      </c>
      <c r="O13" s="263">
        <f>-'[1]FY2011-12 EduJobs Program'!$C11</f>
        <v>-3865</v>
      </c>
      <c r="P13" s="264">
        <f t="shared" si="6"/>
        <v>5057562</v>
      </c>
      <c r="Q13" s="264">
        <f>[2]MFP!$EG14</f>
        <v>3355900</v>
      </c>
      <c r="R13" s="264">
        <f t="shared" si="7"/>
        <v>1701662</v>
      </c>
      <c r="S13" s="259">
        <f t="shared" si="8"/>
        <v>425416</v>
      </c>
      <c r="T13" s="265">
        <f>'Table 4A Stipends'!G10</f>
        <v>0</v>
      </c>
      <c r="U13" s="259">
        <f t="shared" si="9"/>
        <v>5057562</v>
      </c>
    </row>
    <row r="14" spans="1:21">
      <c r="A14" s="257">
        <v>8</v>
      </c>
      <c r="B14" s="258" t="s">
        <v>186</v>
      </c>
      <c r="C14" s="259">
        <f>'Table 3 Levels 1&amp;2'!AO15</f>
        <v>95969576.916182399</v>
      </c>
      <c r="D14" s="260">
        <v>0</v>
      </c>
      <c r="E14" s="260">
        <v>-63586.70089226267</v>
      </c>
      <c r="F14" s="260">
        <f t="shared" si="2"/>
        <v>-63586.70089226267</v>
      </c>
      <c r="G14" s="259">
        <f t="shared" si="1"/>
        <v>0</v>
      </c>
      <c r="H14" s="260">
        <f t="shared" si="3"/>
        <v>-63586.70089226267</v>
      </c>
      <c r="I14" s="260">
        <f>'October midyear adj'!K13</f>
        <v>2519544.0961720627</v>
      </c>
      <c r="J14" s="260">
        <f>'February midyear adj '!K13</f>
        <v>-276535.32762864104</v>
      </c>
      <c r="K14" s="260">
        <f t="shared" si="4"/>
        <v>2243008.7685434218</v>
      </c>
      <c r="L14" s="261"/>
      <c r="M14" s="261"/>
      <c r="N14" s="262">
        <f t="shared" si="5"/>
        <v>98148999</v>
      </c>
      <c r="O14" s="263">
        <f>-'[1]FY2011-12 EduJobs Program'!$C12</f>
        <v>-64233</v>
      </c>
      <c r="P14" s="264">
        <f t="shared" si="6"/>
        <v>98084766</v>
      </c>
      <c r="Q14" s="264">
        <f>[2]MFP!$EG15</f>
        <v>63924481</v>
      </c>
      <c r="R14" s="264">
        <f t="shared" si="7"/>
        <v>34160285</v>
      </c>
      <c r="S14" s="259">
        <f t="shared" si="8"/>
        <v>8540071</v>
      </c>
      <c r="T14" s="259">
        <f>'Table 4A Stipends'!G11</f>
        <v>10000</v>
      </c>
      <c r="U14" s="259">
        <f t="shared" si="9"/>
        <v>98094766</v>
      </c>
    </row>
    <row r="15" spans="1:21">
      <c r="A15" s="257">
        <v>9</v>
      </c>
      <c r="B15" s="258" t="s">
        <v>77</v>
      </c>
      <c r="C15" s="259">
        <f>'Table 3 Levels 1&amp;2'!AO16</f>
        <v>212429947.15309441</v>
      </c>
      <c r="D15" s="260">
        <v>0</v>
      </c>
      <c r="E15" s="260">
        <v>-446553.96232342953</v>
      </c>
      <c r="F15" s="260">
        <f t="shared" si="2"/>
        <v>-446553.96232342953</v>
      </c>
      <c r="G15" s="259">
        <f t="shared" si="1"/>
        <v>0</v>
      </c>
      <c r="H15" s="260">
        <f t="shared" si="3"/>
        <v>-446553.96232342953</v>
      </c>
      <c r="I15" s="260">
        <f>'October midyear adj'!K14+'October midyear adj'!K133+'October midyear adj'!K202</f>
        <v>-148760.46719404371</v>
      </c>
      <c r="J15" s="260">
        <f>'February midyear adj '!K14+'February midyear adj '!K137+'February midyear adj '!K206</f>
        <v>-220575.86514978894</v>
      </c>
      <c r="K15" s="260">
        <f t="shared" si="4"/>
        <v>-369336.33234383265</v>
      </c>
      <c r="L15" s="261">
        <f>-'Table 5B2_RSD_LA'!L30</f>
        <v>-3341981.5956412768</v>
      </c>
      <c r="M15" s="261"/>
      <c r="N15" s="275">
        <f t="shared" si="5"/>
        <v>208272075</v>
      </c>
      <c r="O15" s="263">
        <f>-'[1]FY2011-12 EduJobs Program'!$C13</f>
        <v>-134966</v>
      </c>
      <c r="P15" s="264">
        <f t="shared" si="6"/>
        <v>208137109</v>
      </c>
      <c r="Q15" s="264">
        <f>[2]MFP!$EG16</f>
        <v>139068991</v>
      </c>
      <c r="R15" s="264">
        <f t="shared" si="7"/>
        <v>69068118</v>
      </c>
      <c r="S15" s="259">
        <f t="shared" si="8"/>
        <v>17267030</v>
      </c>
      <c r="T15" s="259">
        <f>'Table 4A Stipends'!G12</f>
        <v>32000</v>
      </c>
      <c r="U15" s="260">
        <f t="shared" si="9"/>
        <v>208169109</v>
      </c>
    </row>
    <row r="16" spans="1:21">
      <c r="A16" s="266">
        <v>10</v>
      </c>
      <c r="B16" s="267" t="s">
        <v>187</v>
      </c>
      <c r="C16" s="268">
        <f>'Table 3 Levels 1&amp;2'!AO17</f>
        <v>154346181.85660601</v>
      </c>
      <c r="D16" s="269">
        <v>0</v>
      </c>
      <c r="E16" s="269">
        <v>-248723.91684525154</v>
      </c>
      <c r="F16" s="269">
        <f t="shared" si="2"/>
        <v>-248723.91684525154</v>
      </c>
      <c r="G16" s="268">
        <f t="shared" si="1"/>
        <v>0</v>
      </c>
      <c r="H16" s="269">
        <f t="shared" si="3"/>
        <v>-248723.91684525154</v>
      </c>
      <c r="I16" s="269">
        <f>'October midyear adj'!K15</f>
        <v>-1677782.84810018</v>
      </c>
      <c r="J16" s="269">
        <f>'February midyear adj '!K15</f>
        <v>-130384.88408989669</v>
      </c>
      <c r="K16" s="269">
        <f t="shared" si="4"/>
        <v>-1808167.7321900767</v>
      </c>
      <c r="L16" s="270"/>
      <c r="M16" s="270"/>
      <c r="N16" s="271">
        <f t="shared" si="5"/>
        <v>152289290</v>
      </c>
      <c r="O16" s="272">
        <f>-'[1]FY2011-12 EduJobs Program'!$C14</f>
        <v>-96397</v>
      </c>
      <c r="P16" s="273">
        <f t="shared" si="6"/>
        <v>152192893</v>
      </c>
      <c r="Q16" s="273">
        <f>[2]MFP!$EG17</f>
        <v>102712360</v>
      </c>
      <c r="R16" s="273">
        <f t="shared" si="7"/>
        <v>49480533</v>
      </c>
      <c r="S16" s="268">
        <f t="shared" si="8"/>
        <v>12370133</v>
      </c>
      <c r="T16" s="268">
        <f>'Table 4A Stipends'!G13</f>
        <v>118000</v>
      </c>
      <c r="U16" s="268">
        <f t="shared" si="9"/>
        <v>152310893</v>
      </c>
    </row>
    <row r="17" spans="1:21">
      <c r="A17" s="257">
        <v>11</v>
      </c>
      <c r="B17" s="258" t="s">
        <v>188</v>
      </c>
      <c r="C17" s="259">
        <f>'Table 3 Levels 1&amp;2'!AO18</f>
        <v>11835132.484581999</v>
      </c>
      <c r="D17" s="260">
        <v>0</v>
      </c>
      <c r="E17" s="260">
        <v>-71561.398437096621</v>
      </c>
      <c r="F17" s="260">
        <f t="shared" si="2"/>
        <v>-71561.398437096621</v>
      </c>
      <c r="G17" s="259">
        <f t="shared" si="1"/>
        <v>0</v>
      </c>
      <c r="H17" s="260">
        <f t="shared" si="3"/>
        <v>-71561.398437096621</v>
      </c>
      <c r="I17" s="260">
        <f>'October midyear adj'!K16</f>
        <v>-331826.13741818693</v>
      </c>
      <c r="J17" s="260">
        <f>'February midyear adj '!K16</f>
        <v>44243.484989091594</v>
      </c>
      <c r="K17" s="260">
        <f t="shared" si="4"/>
        <v>-287582.65242909535</v>
      </c>
      <c r="L17" s="261"/>
      <c r="M17" s="261"/>
      <c r="N17" s="262">
        <f t="shared" si="5"/>
        <v>11475988</v>
      </c>
      <c r="O17" s="263">
        <f>-'[1]FY2011-12 EduJobs Program'!$C15</f>
        <v>-7521</v>
      </c>
      <c r="P17" s="264">
        <f t="shared" si="6"/>
        <v>11468467</v>
      </c>
      <c r="Q17" s="264">
        <f>[2]MFP!$EG18</f>
        <v>7840879</v>
      </c>
      <c r="R17" s="264">
        <f t="shared" si="7"/>
        <v>3627588</v>
      </c>
      <c r="S17" s="259">
        <f t="shared" si="8"/>
        <v>906897</v>
      </c>
      <c r="T17" s="259">
        <f>'Table 4A Stipends'!G14</f>
        <v>0</v>
      </c>
      <c r="U17" s="259">
        <f t="shared" si="9"/>
        <v>11468467</v>
      </c>
    </row>
    <row r="18" spans="1:21">
      <c r="A18" s="257">
        <v>12</v>
      </c>
      <c r="B18" s="258" t="s">
        <v>189</v>
      </c>
      <c r="C18" s="259">
        <f>'Table 3 Levels 1&amp;2'!AO19</f>
        <v>3335396.75</v>
      </c>
      <c r="D18" s="260">
        <v>0</v>
      </c>
      <c r="E18" s="260">
        <v>-198.15675332724189</v>
      </c>
      <c r="F18" s="260">
        <f t="shared" si="2"/>
        <v>-198.15675332724189</v>
      </c>
      <c r="G18" s="259">
        <f t="shared" si="1"/>
        <v>0</v>
      </c>
      <c r="H18" s="260">
        <f t="shared" si="3"/>
        <v>-198.15675332724189</v>
      </c>
      <c r="I18" s="260">
        <f>'October midyear adj'!K17</f>
        <v>72625.583104838719</v>
      </c>
      <c r="J18" s="260">
        <f>'February midyear adj '!K17</f>
        <v>-59176.401048387102</v>
      </c>
      <c r="K18" s="260">
        <f t="shared" si="4"/>
        <v>13449.182056451617</v>
      </c>
      <c r="L18" s="261"/>
      <c r="M18" s="261"/>
      <c r="N18" s="262">
        <f t="shared" si="5"/>
        <v>3348648</v>
      </c>
      <c r="O18" s="263">
        <f>-'[1]FY2011-12 EduJobs Program'!$C16</f>
        <v>-2381</v>
      </c>
      <c r="P18" s="264">
        <f t="shared" si="6"/>
        <v>3346267</v>
      </c>
      <c r="Q18" s="264">
        <f>[2]MFP!$EG19</f>
        <v>2222988</v>
      </c>
      <c r="R18" s="264">
        <f t="shared" si="7"/>
        <v>1123279</v>
      </c>
      <c r="S18" s="259">
        <f t="shared" si="8"/>
        <v>280820</v>
      </c>
      <c r="T18" s="259">
        <f>'Table 4A Stipends'!G15</f>
        <v>4000</v>
      </c>
      <c r="U18" s="259">
        <f t="shared" si="9"/>
        <v>3350267</v>
      </c>
    </row>
    <row r="19" spans="1:21">
      <c r="A19" s="257">
        <v>13</v>
      </c>
      <c r="B19" s="258" t="s">
        <v>190</v>
      </c>
      <c r="C19" s="259">
        <f>'Table 3 Levels 1&amp;2'!AO20</f>
        <v>10189093.787416</v>
      </c>
      <c r="D19" s="260">
        <v>0</v>
      </c>
      <c r="E19" s="260">
        <v>-26633.507717593493</v>
      </c>
      <c r="F19" s="260">
        <f t="shared" si="2"/>
        <v>-26633.507717593493</v>
      </c>
      <c r="G19" s="259">
        <f t="shared" si="1"/>
        <v>0</v>
      </c>
      <c r="H19" s="260">
        <f t="shared" si="3"/>
        <v>-26633.507717593493</v>
      </c>
      <c r="I19" s="260">
        <f>'October midyear adj'!K18</f>
        <v>40352.848465013863</v>
      </c>
      <c r="J19" s="260">
        <f>'February midyear adj '!K18</f>
        <v>-43715.585837098348</v>
      </c>
      <c r="K19" s="260">
        <f t="shared" si="4"/>
        <v>-3362.7373720844844</v>
      </c>
      <c r="L19" s="261"/>
      <c r="M19" s="261"/>
      <c r="N19" s="262">
        <f t="shared" si="5"/>
        <v>10159098</v>
      </c>
      <c r="O19" s="263">
        <f>-'[1]FY2011-12 EduJobs Program'!$C17</f>
        <v>-6419</v>
      </c>
      <c r="P19" s="264">
        <f t="shared" si="6"/>
        <v>10152679</v>
      </c>
      <c r="Q19" s="264">
        <f>[2]MFP!$EG20</f>
        <v>6773691</v>
      </c>
      <c r="R19" s="264">
        <f t="shared" si="7"/>
        <v>3378988</v>
      </c>
      <c r="S19" s="259">
        <f t="shared" si="8"/>
        <v>844747</v>
      </c>
      <c r="T19" s="259">
        <f>'Table 4A Stipends'!G16</f>
        <v>0</v>
      </c>
      <c r="U19" s="259">
        <f t="shared" si="9"/>
        <v>10152679</v>
      </c>
    </row>
    <row r="20" spans="1:21">
      <c r="A20" s="257">
        <v>14</v>
      </c>
      <c r="B20" s="258" t="s">
        <v>191</v>
      </c>
      <c r="C20" s="259">
        <f>'Table 3 Levels 1&amp;2'!AO21</f>
        <v>13176947.058854401</v>
      </c>
      <c r="D20" s="260">
        <v>0</v>
      </c>
      <c r="E20" s="260">
        <v>-53101.295646143219</v>
      </c>
      <c r="F20" s="260">
        <f t="shared" si="2"/>
        <v>-53101.295646143219</v>
      </c>
      <c r="G20" s="259">
        <f t="shared" si="1"/>
        <v>0</v>
      </c>
      <c r="H20" s="260">
        <f t="shared" si="3"/>
        <v>-53101.295646143219</v>
      </c>
      <c r="I20" s="260">
        <f>'October midyear adj'!K19</f>
        <v>-177091.86945200039</v>
      </c>
      <c r="J20" s="260">
        <f>'February midyear adj '!K19</f>
        <v>-121340.72536525952</v>
      </c>
      <c r="K20" s="260">
        <f t="shared" si="4"/>
        <v>-298432.59481725993</v>
      </c>
      <c r="L20" s="261"/>
      <c r="M20" s="261"/>
      <c r="N20" s="262">
        <f t="shared" si="5"/>
        <v>12825413</v>
      </c>
      <c r="O20" s="263">
        <f>-'[1]FY2011-12 EduJobs Program'!$C18</f>
        <v>-8716</v>
      </c>
      <c r="P20" s="264">
        <f t="shared" si="6"/>
        <v>12816697</v>
      </c>
      <c r="Q20" s="264">
        <f>[2]MFP!$EG21</f>
        <v>8747488</v>
      </c>
      <c r="R20" s="264">
        <f t="shared" si="7"/>
        <v>4069209</v>
      </c>
      <c r="S20" s="259">
        <f t="shared" si="8"/>
        <v>1017302</v>
      </c>
      <c r="T20" s="259">
        <f>'Table 4A Stipends'!G17</f>
        <v>0</v>
      </c>
      <c r="U20" s="259">
        <f t="shared" si="9"/>
        <v>12816697</v>
      </c>
    </row>
    <row r="21" spans="1:21">
      <c r="A21" s="266">
        <v>15</v>
      </c>
      <c r="B21" s="267" t="s">
        <v>192</v>
      </c>
      <c r="C21" s="268">
        <f>'Table 3 Levels 1&amp;2'!AO22</f>
        <v>21976176.18928</v>
      </c>
      <c r="D21" s="269">
        <v>0</v>
      </c>
      <c r="E21" s="269">
        <v>-11210.07773539005</v>
      </c>
      <c r="F21" s="269">
        <f t="shared" si="2"/>
        <v>-11210.07773539005</v>
      </c>
      <c r="G21" s="268">
        <f t="shared" si="1"/>
        <v>0</v>
      </c>
      <c r="H21" s="269">
        <f t="shared" si="3"/>
        <v>-11210.07773539005</v>
      </c>
      <c r="I21" s="269">
        <f>'October midyear adj'!K20</f>
        <v>-291666.47174288193</v>
      </c>
      <c r="J21" s="269">
        <f>'February midyear adj '!K20</f>
        <v>-65476.146717789823</v>
      </c>
      <c r="K21" s="269">
        <f t="shared" si="4"/>
        <v>-357142.61846067174</v>
      </c>
      <c r="L21" s="270"/>
      <c r="M21" s="270"/>
      <c r="N21" s="271">
        <f t="shared" si="5"/>
        <v>21607823</v>
      </c>
      <c r="O21" s="272">
        <f>-'[1]FY2011-12 EduJobs Program'!$C19</f>
        <v>-14326</v>
      </c>
      <c r="P21" s="273">
        <f t="shared" si="6"/>
        <v>21593497</v>
      </c>
      <c r="Q21" s="273">
        <f>[2]MFP!$EG22</f>
        <v>14640446</v>
      </c>
      <c r="R21" s="273">
        <f t="shared" si="7"/>
        <v>6953051</v>
      </c>
      <c r="S21" s="268">
        <f t="shared" si="8"/>
        <v>1738263</v>
      </c>
      <c r="T21" s="268">
        <f>'Table 4A Stipends'!G18</f>
        <v>6000</v>
      </c>
      <c r="U21" s="268">
        <f t="shared" si="9"/>
        <v>21599497</v>
      </c>
    </row>
    <row r="22" spans="1:21">
      <c r="A22" s="257">
        <v>16</v>
      </c>
      <c r="B22" s="258" t="s">
        <v>193</v>
      </c>
      <c r="C22" s="259">
        <f>'Table 3 Levels 1&amp;2'!AO23</f>
        <v>10289052.25</v>
      </c>
      <c r="D22" s="260">
        <v>0</v>
      </c>
      <c r="E22" s="260">
        <v>-18798.560342086017</v>
      </c>
      <c r="F22" s="260">
        <f t="shared" si="2"/>
        <v>-18798.560342086017</v>
      </c>
      <c r="G22" s="259">
        <f t="shared" si="1"/>
        <v>0</v>
      </c>
      <c r="H22" s="260">
        <f t="shared" si="3"/>
        <v>-18798.560342086017</v>
      </c>
      <c r="I22" s="260">
        <f>'October midyear adj'!K21</f>
        <v>217792.64347658755</v>
      </c>
      <c r="J22" s="260">
        <f>'February midyear adj '!K21</f>
        <v>-3299.8885375240538</v>
      </c>
      <c r="K22" s="260">
        <f t="shared" si="4"/>
        <v>214492.75493906348</v>
      </c>
      <c r="L22" s="261"/>
      <c r="M22" s="261"/>
      <c r="N22" s="262">
        <f t="shared" si="5"/>
        <v>10484746</v>
      </c>
      <c r="O22" s="263">
        <f>-'[1]FY2011-12 EduJobs Program'!$C20</f>
        <v>-13381</v>
      </c>
      <c r="P22" s="264">
        <f t="shared" si="6"/>
        <v>10471365</v>
      </c>
      <c r="Q22" s="264">
        <f>[2]MFP!$EG23</f>
        <v>6844163</v>
      </c>
      <c r="R22" s="264">
        <f t="shared" si="7"/>
        <v>3627202</v>
      </c>
      <c r="S22" s="259">
        <f t="shared" si="8"/>
        <v>906801</v>
      </c>
      <c r="T22" s="259">
        <f>'Table 4A Stipends'!G19</f>
        <v>6000</v>
      </c>
      <c r="U22" s="259">
        <f t="shared" si="9"/>
        <v>10477365</v>
      </c>
    </row>
    <row r="23" spans="1:21">
      <c r="A23" s="257">
        <v>17</v>
      </c>
      <c r="B23" s="258" t="s">
        <v>75</v>
      </c>
      <c r="C23" s="259">
        <f>'Table 3 Levels 1&amp;2'!AO24</f>
        <v>175810122.38827917</v>
      </c>
      <c r="D23" s="260">
        <v>24327.949943585147</v>
      </c>
      <c r="E23" s="260">
        <v>-49475.379142854828</v>
      </c>
      <c r="F23" s="260">
        <f t="shared" si="2"/>
        <v>-25147.429199269682</v>
      </c>
      <c r="G23" s="259">
        <f t="shared" si="1"/>
        <v>0</v>
      </c>
      <c r="H23" s="260">
        <f t="shared" si="3"/>
        <v>-25147.429199269682</v>
      </c>
      <c r="I23" s="260">
        <f>'October midyear adj'!K22+'October midyear adj'!K197+'October midyear adj'!K135+'October midyear adj'!K101</f>
        <v>2807560.9195764526</v>
      </c>
      <c r="J23" s="260">
        <f>'February midyear adj '!K22+'February midyear adj '!K201+'February midyear adj '!K139+'February midyear adj '!K101</f>
        <v>-689362.44353719417</v>
      </c>
      <c r="K23" s="260">
        <f t="shared" si="4"/>
        <v>2118198.4760392583</v>
      </c>
      <c r="L23" s="261">
        <f>-'Table 5B2_RSD_LA'!L18</f>
        <v>-9835131.8153377995</v>
      </c>
      <c r="M23" s="261">
        <f>-'Table 5C1 - Type 2s'!K6</f>
        <v>-801451.14691573556</v>
      </c>
      <c r="N23" s="275">
        <f t="shared" si="5"/>
        <v>167266590</v>
      </c>
      <c r="O23" s="263">
        <f>-'[1]FY2011-12 EduJobs Program'!$C21</f>
        <v>-105157</v>
      </c>
      <c r="P23" s="264">
        <f t="shared" si="6"/>
        <v>167161433</v>
      </c>
      <c r="Q23" s="264">
        <f>[2]MFP!$EG24</f>
        <v>110445840</v>
      </c>
      <c r="R23" s="264">
        <f t="shared" si="7"/>
        <v>56715593</v>
      </c>
      <c r="S23" s="259">
        <f t="shared" si="8"/>
        <v>14178898</v>
      </c>
      <c r="T23" s="259">
        <f>'Table 4A Stipends'!G20</f>
        <v>40000</v>
      </c>
      <c r="U23" s="260">
        <f t="shared" si="9"/>
        <v>167201433</v>
      </c>
    </row>
    <row r="24" spans="1:21">
      <c r="A24" s="257">
        <v>18</v>
      </c>
      <c r="B24" s="258" t="s">
        <v>194</v>
      </c>
      <c r="C24" s="259">
        <f>'Table 3 Levels 1&amp;2'!AO25</f>
        <v>7693588.7673519999</v>
      </c>
      <c r="D24" s="260">
        <v>0</v>
      </c>
      <c r="E24" s="260">
        <v>37455.352573118871</v>
      </c>
      <c r="F24" s="260">
        <f t="shared" si="2"/>
        <v>37455.352573118871</v>
      </c>
      <c r="G24" s="259">
        <f t="shared" si="1"/>
        <v>37455.352573118871</v>
      </c>
      <c r="H24" s="260">
        <f t="shared" si="3"/>
        <v>0</v>
      </c>
      <c r="I24" s="260">
        <f>'October midyear adj'!K23</f>
        <v>-66152.954577403259</v>
      </c>
      <c r="J24" s="260">
        <f>'February midyear adj '!K23</f>
        <v>-62845.306848533095</v>
      </c>
      <c r="K24" s="260">
        <f t="shared" si="4"/>
        <v>-128998.26142593636</v>
      </c>
      <c r="L24" s="261"/>
      <c r="M24" s="261"/>
      <c r="N24" s="275">
        <f t="shared" si="5"/>
        <v>7602046</v>
      </c>
      <c r="O24" s="263">
        <f>-'[1]FY2011-12 EduJobs Program'!$C22</f>
        <v>-5015</v>
      </c>
      <c r="P24" s="264">
        <f t="shared" si="6"/>
        <v>7597031</v>
      </c>
      <c r="Q24" s="264">
        <f>[2]MFP!$EG25</f>
        <v>5153028</v>
      </c>
      <c r="R24" s="264">
        <f t="shared" si="7"/>
        <v>2444003</v>
      </c>
      <c r="S24" s="259">
        <f t="shared" si="8"/>
        <v>611001</v>
      </c>
      <c r="T24" s="259">
        <f>'Table 4A Stipends'!G21</f>
        <v>12000</v>
      </c>
      <c r="U24" s="260">
        <f t="shared" si="9"/>
        <v>7609031</v>
      </c>
    </row>
    <row r="25" spans="1:21">
      <c r="A25" s="257">
        <v>19</v>
      </c>
      <c r="B25" s="258" t="s">
        <v>195</v>
      </c>
      <c r="C25" s="259">
        <f>'Table 3 Levels 1&amp;2'!AO26</f>
        <v>11962583.051328</v>
      </c>
      <c r="D25" s="260">
        <v>0</v>
      </c>
      <c r="E25" s="260">
        <v>-61690.658328214806</v>
      </c>
      <c r="F25" s="260">
        <f t="shared" si="2"/>
        <v>-61690.658328214806</v>
      </c>
      <c r="G25" s="259">
        <f t="shared" si="1"/>
        <v>0</v>
      </c>
      <c r="H25" s="260">
        <f t="shared" si="3"/>
        <v>-61690.658328214806</v>
      </c>
      <c r="I25" s="260">
        <f>'October midyear adj'!K24</f>
        <v>12219.185895125638</v>
      </c>
      <c r="J25" s="260">
        <f>'February midyear adj '!K24</f>
        <v>-94698.690687223701</v>
      </c>
      <c r="K25" s="260">
        <f t="shared" si="4"/>
        <v>-82479.504792098058</v>
      </c>
      <c r="L25" s="261"/>
      <c r="M25" s="261"/>
      <c r="N25" s="275">
        <f t="shared" si="5"/>
        <v>11818413</v>
      </c>
      <c r="O25" s="263">
        <f>-'[1]FY2011-12 EduJobs Program'!$C23</f>
        <v>-7799</v>
      </c>
      <c r="P25" s="264">
        <f t="shared" si="6"/>
        <v>11810614</v>
      </c>
      <c r="Q25" s="264">
        <f>[2]MFP!$EG26</f>
        <v>7932368</v>
      </c>
      <c r="R25" s="264">
        <f t="shared" si="7"/>
        <v>3878246</v>
      </c>
      <c r="S25" s="259">
        <f t="shared" si="8"/>
        <v>969562</v>
      </c>
      <c r="T25" s="259">
        <f>'Table 4A Stipends'!G22</f>
        <v>0</v>
      </c>
      <c r="U25" s="260">
        <f t="shared" si="9"/>
        <v>11810614</v>
      </c>
    </row>
    <row r="26" spans="1:21">
      <c r="A26" s="266">
        <v>20</v>
      </c>
      <c r="B26" s="267" t="s">
        <v>196</v>
      </c>
      <c r="C26" s="268">
        <f>'Table 3 Levels 1&amp;2'!AO27</f>
        <v>34332859.735444002</v>
      </c>
      <c r="D26" s="269">
        <v>0</v>
      </c>
      <c r="E26" s="269">
        <v>-16948.190023363484</v>
      </c>
      <c r="F26" s="269">
        <f t="shared" si="2"/>
        <v>-16948.190023363484</v>
      </c>
      <c r="G26" s="268">
        <f t="shared" si="1"/>
        <v>0</v>
      </c>
      <c r="H26" s="269">
        <f t="shared" si="3"/>
        <v>-16948.190023363484</v>
      </c>
      <c r="I26" s="269">
        <f>'October midyear adj'!K25</f>
        <v>644607.11940735357</v>
      </c>
      <c r="J26" s="269">
        <f>'February midyear adj '!K25</f>
        <v>-12048.731203875768</v>
      </c>
      <c r="K26" s="269">
        <f t="shared" si="4"/>
        <v>632558.38820347784</v>
      </c>
      <c r="L26" s="270"/>
      <c r="M26" s="270"/>
      <c r="N26" s="276">
        <f t="shared" si="5"/>
        <v>34948470</v>
      </c>
      <c r="O26" s="272">
        <f>-'[1]FY2011-12 EduJobs Program'!$C24</f>
        <v>-22335</v>
      </c>
      <c r="P26" s="273">
        <f t="shared" si="6"/>
        <v>34926135</v>
      </c>
      <c r="Q26" s="273">
        <f>[2]MFP!$EG27</f>
        <v>22872806</v>
      </c>
      <c r="R26" s="273">
        <f t="shared" si="7"/>
        <v>12053329</v>
      </c>
      <c r="S26" s="268">
        <f t="shared" si="8"/>
        <v>3013332</v>
      </c>
      <c r="T26" s="268">
        <f>'Table 4A Stipends'!G23</f>
        <v>0</v>
      </c>
      <c r="U26" s="269">
        <f t="shared" si="9"/>
        <v>34926135</v>
      </c>
    </row>
    <row r="27" spans="1:21">
      <c r="A27" s="257">
        <v>21</v>
      </c>
      <c r="B27" s="258" t="s">
        <v>197</v>
      </c>
      <c r="C27" s="259">
        <f>'Table 3 Levels 1&amp;2'!AO28</f>
        <v>18077881.655280001</v>
      </c>
      <c r="D27" s="260">
        <v>0</v>
      </c>
      <c r="E27" s="260">
        <v>-40980.395058678245</v>
      </c>
      <c r="F27" s="260">
        <f t="shared" si="2"/>
        <v>-40980.395058678245</v>
      </c>
      <c r="G27" s="259">
        <f t="shared" si="1"/>
        <v>0</v>
      </c>
      <c r="H27" s="260">
        <f t="shared" si="3"/>
        <v>-40980.395058678245</v>
      </c>
      <c r="I27" s="260">
        <f>'October midyear adj'!K26</f>
        <v>267866.60864129564</v>
      </c>
      <c r="J27" s="260">
        <f>'February midyear adj '!K26</f>
        <v>-21803.096052198482</v>
      </c>
      <c r="K27" s="260">
        <f t="shared" si="4"/>
        <v>246063.51258909714</v>
      </c>
      <c r="L27" s="261"/>
      <c r="M27" s="261"/>
      <c r="N27" s="275">
        <f t="shared" si="5"/>
        <v>18282965</v>
      </c>
      <c r="O27" s="263">
        <f>-'[1]FY2011-12 EduJobs Program'!$C25</f>
        <v>-11747</v>
      </c>
      <c r="P27" s="264">
        <f t="shared" si="6"/>
        <v>18271218</v>
      </c>
      <c r="Q27" s="264">
        <f>[2]MFP!$EG28</f>
        <v>12022251</v>
      </c>
      <c r="R27" s="264">
        <f t="shared" si="7"/>
        <v>6248967</v>
      </c>
      <c r="S27" s="259">
        <f t="shared" si="8"/>
        <v>1562242</v>
      </c>
      <c r="T27" s="259">
        <f>'Table 4A Stipends'!G24</f>
        <v>0</v>
      </c>
      <c r="U27" s="260">
        <f t="shared" si="9"/>
        <v>18271218</v>
      </c>
    </row>
    <row r="28" spans="1:21">
      <c r="A28" s="257">
        <v>22</v>
      </c>
      <c r="B28" s="258" t="s">
        <v>198</v>
      </c>
      <c r="C28" s="259">
        <f>'Table 3 Levels 1&amp;2'!AO29</f>
        <v>22092719.614</v>
      </c>
      <c r="D28" s="260">
        <v>0</v>
      </c>
      <c r="E28" s="260">
        <v>-81983.917632413504</v>
      </c>
      <c r="F28" s="260">
        <f t="shared" si="2"/>
        <v>-81983.917632413504</v>
      </c>
      <c r="G28" s="259">
        <f t="shared" si="1"/>
        <v>0</v>
      </c>
      <c r="H28" s="260">
        <f t="shared" si="3"/>
        <v>-81983.917632413504</v>
      </c>
      <c r="I28" s="260">
        <f>'October midyear adj'!K27</f>
        <v>-213843.62757652751</v>
      </c>
      <c r="J28" s="260">
        <f>'February midyear adj '!K27</f>
        <v>-23389.146766182697</v>
      </c>
      <c r="K28" s="260">
        <f t="shared" si="4"/>
        <v>-237232.77434271021</v>
      </c>
      <c r="L28" s="261"/>
      <c r="M28" s="261"/>
      <c r="N28" s="275">
        <f t="shared" si="5"/>
        <v>21773503</v>
      </c>
      <c r="O28" s="263">
        <f>-'[1]FY2011-12 EduJobs Program'!$C26</f>
        <v>-13581</v>
      </c>
      <c r="P28" s="264">
        <f t="shared" si="6"/>
        <v>21759922</v>
      </c>
      <c r="Q28" s="264">
        <f>[2]MFP!$EG29</f>
        <v>14671108</v>
      </c>
      <c r="R28" s="264">
        <f t="shared" si="7"/>
        <v>7088814</v>
      </c>
      <c r="S28" s="259">
        <f t="shared" si="8"/>
        <v>1772204</v>
      </c>
      <c r="T28" s="259">
        <f>'Table 4A Stipends'!G25</f>
        <v>0</v>
      </c>
      <c r="U28" s="260">
        <f t="shared" si="9"/>
        <v>21759922</v>
      </c>
    </row>
    <row r="29" spans="1:21">
      <c r="A29" s="257">
        <v>23</v>
      </c>
      <c r="B29" s="258" t="s">
        <v>199</v>
      </c>
      <c r="C29" s="259">
        <f>'Table 3 Levels 1&amp;2'!AO30</f>
        <v>72565767.913376004</v>
      </c>
      <c r="D29" s="260">
        <v>0</v>
      </c>
      <c r="E29" s="260">
        <v>-31013.538577287494</v>
      </c>
      <c r="F29" s="260">
        <f t="shared" si="2"/>
        <v>-31013.538577287494</v>
      </c>
      <c r="G29" s="259">
        <f t="shared" si="1"/>
        <v>0</v>
      </c>
      <c r="H29" s="260">
        <f t="shared" si="3"/>
        <v>-31013.538577287494</v>
      </c>
      <c r="I29" s="260">
        <f>'October midyear adj'!K28</f>
        <v>1098060.0510365618</v>
      </c>
      <c r="J29" s="260">
        <f>'February midyear adj '!K28</f>
        <v>-251063.98151840986</v>
      </c>
      <c r="K29" s="260">
        <f t="shared" si="4"/>
        <v>846996.06951815193</v>
      </c>
      <c r="L29" s="261"/>
      <c r="M29" s="261"/>
      <c r="N29" s="275">
        <f t="shared" si="5"/>
        <v>73381750</v>
      </c>
      <c r="O29" s="263">
        <f>-'[1]FY2011-12 EduJobs Program'!$C27</f>
        <v>-47212</v>
      </c>
      <c r="P29" s="264">
        <f t="shared" si="6"/>
        <v>73334538</v>
      </c>
      <c r="Q29" s="264">
        <f>[2]MFP!$EG30</f>
        <v>48347061</v>
      </c>
      <c r="R29" s="264">
        <f t="shared" si="7"/>
        <v>24987477</v>
      </c>
      <c r="S29" s="259">
        <f t="shared" si="8"/>
        <v>6246869</v>
      </c>
      <c r="T29" s="259">
        <f>'Table 4A Stipends'!G26</f>
        <v>34000</v>
      </c>
      <c r="U29" s="260">
        <f t="shared" si="9"/>
        <v>73368538</v>
      </c>
    </row>
    <row r="30" spans="1:21">
      <c r="A30" s="257">
        <v>24</v>
      </c>
      <c r="B30" s="258" t="s">
        <v>200</v>
      </c>
      <c r="C30" s="259">
        <f>'Table 3 Levels 1&amp;2'!AO31</f>
        <v>14630943</v>
      </c>
      <c r="D30" s="260">
        <v>0</v>
      </c>
      <c r="E30" s="260">
        <v>-11388.753791371226</v>
      </c>
      <c r="F30" s="260">
        <f t="shared" si="2"/>
        <v>-11388.753791371226</v>
      </c>
      <c r="G30" s="259">
        <f t="shared" si="1"/>
        <v>0</v>
      </c>
      <c r="H30" s="260">
        <f t="shared" si="3"/>
        <v>-11388.753791371226</v>
      </c>
      <c r="I30" s="260">
        <f>'October midyear adj'!K29</f>
        <v>368368.90764476999</v>
      </c>
      <c r="J30" s="260">
        <f>'February midyear adj '!K29</f>
        <v>-30139.274261844817</v>
      </c>
      <c r="K30" s="260">
        <f t="shared" si="4"/>
        <v>338229.63338292518</v>
      </c>
      <c r="L30" s="261"/>
      <c r="M30" s="261"/>
      <c r="N30" s="275">
        <f t="shared" si="5"/>
        <v>14957784</v>
      </c>
      <c r="O30" s="263">
        <f>-'[1]FY2011-12 EduJobs Program'!$C28</f>
        <v>-9930</v>
      </c>
      <c r="P30" s="264">
        <f t="shared" si="6"/>
        <v>14947854</v>
      </c>
      <c r="Q30" s="264">
        <f>[2]MFP!$EG31</f>
        <v>9744382</v>
      </c>
      <c r="R30" s="264">
        <f t="shared" si="7"/>
        <v>5203472</v>
      </c>
      <c r="S30" s="259">
        <f t="shared" si="8"/>
        <v>1300868</v>
      </c>
      <c r="T30" s="259">
        <f>'Table 4A Stipends'!G27</f>
        <v>0</v>
      </c>
      <c r="U30" s="260">
        <f t="shared" si="9"/>
        <v>14947854</v>
      </c>
    </row>
    <row r="31" spans="1:21">
      <c r="A31" s="266">
        <v>25</v>
      </c>
      <c r="B31" s="267" t="s">
        <v>201</v>
      </c>
      <c r="C31" s="268">
        <f>'Table 3 Levels 1&amp;2'!AO32</f>
        <v>9467402.9879759997</v>
      </c>
      <c r="D31" s="269">
        <v>0</v>
      </c>
      <c r="E31" s="269">
        <v>-6339.4606237962344</v>
      </c>
      <c r="F31" s="269">
        <f t="shared" si="2"/>
        <v>-6339.4606237962344</v>
      </c>
      <c r="G31" s="268">
        <f t="shared" si="1"/>
        <v>0</v>
      </c>
      <c r="H31" s="269">
        <f t="shared" si="3"/>
        <v>-6339.4606237962344</v>
      </c>
      <c r="I31" s="269">
        <f>'October midyear adj'!K30</f>
        <v>108026.05451821086</v>
      </c>
      <c r="J31" s="269">
        <f>'February midyear adj '!K30</f>
        <v>17284.168722913739</v>
      </c>
      <c r="K31" s="269">
        <f t="shared" si="4"/>
        <v>125310.22324112459</v>
      </c>
      <c r="L31" s="270"/>
      <c r="M31" s="270"/>
      <c r="N31" s="276">
        <f t="shared" si="5"/>
        <v>9586374</v>
      </c>
      <c r="O31" s="272">
        <f>-'[1]FY2011-12 EduJobs Program'!$C29</f>
        <v>-6853</v>
      </c>
      <c r="P31" s="273">
        <f t="shared" si="6"/>
        <v>9579521</v>
      </c>
      <c r="Q31" s="273">
        <f>[2]MFP!$EG32</f>
        <v>6306005</v>
      </c>
      <c r="R31" s="273">
        <f t="shared" si="7"/>
        <v>3273516</v>
      </c>
      <c r="S31" s="268">
        <f t="shared" si="8"/>
        <v>818379</v>
      </c>
      <c r="T31" s="268">
        <f>'Table 4A Stipends'!G28</f>
        <v>0</v>
      </c>
      <c r="U31" s="269">
        <f t="shared" si="9"/>
        <v>9579521</v>
      </c>
    </row>
    <row r="32" spans="1:21">
      <c r="A32" s="257">
        <v>26</v>
      </c>
      <c r="B32" s="258" t="s">
        <v>202</v>
      </c>
      <c r="C32" s="259">
        <f>'Table 3 Levels 1&amp;2'!AO33</f>
        <v>171608136.65816557</v>
      </c>
      <c r="D32" s="260">
        <v>0</v>
      </c>
      <c r="E32" s="260">
        <v>-595500.79705519741</v>
      </c>
      <c r="F32" s="260">
        <f t="shared" si="2"/>
        <v>-595500.79705519741</v>
      </c>
      <c r="G32" s="259">
        <f t="shared" si="1"/>
        <v>0</v>
      </c>
      <c r="H32" s="260">
        <f t="shared" si="3"/>
        <v>-595500.79705519741</v>
      </c>
      <c r="I32" s="260">
        <f>'October midyear adj'!K31+'October midyear adj'!K114</f>
        <v>3249549.9892984414</v>
      </c>
      <c r="J32" s="260">
        <f>'February midyear adj '!K31+'February midyear adj '!K115</f>
        <v>-490422.88182050106</v>
      </c>
      <c r="K32" s="260">
        <f t="shared" si="4"/>
        <v>2759127.1074779406</v>
      </c>
      <c r="L32" s="261"/>
      <c r="M32" s="261">
        <f>-'Table 5C1 - Type 2s'!K42</f>
        <v>-109647.39227694129</v>
      </c>
      <c r="N32" s="275">
        <f t="shared" si="5"/>
        <v>173662116</v>
      </c>
      <c r="O32" s="263">
        <f>-'[1]FY2011-12 EduJobs Program'!$C30</f>
        <v>-110948</v>
      </c>
      <c r="P32" s="264">
        <f t="shared" si="6"/>
        <v>173551168</v>
      </c>
      <c r="Q32" s="264">
        <f>[2]MFP!$EG33</f>
        <v>113954338</v>
      </c>
      <c r="R32" s="264">
        <f t="shared" si="7"/>
        <v>59596830</v>
      </c>
      <c r="S32" s="259">
        <f t="shared" si="8"/>
        <v>14899208</v>
      </c>
      <c r="T32" s="259">
        <f>'Table 4A Stipends'!G29</f>
        <v>66000</v>
      </c>
      <c r="U32" s="260">
        <f t="shared" si="9"/>
        <v>173617168</v>
      </c>
    </row>
    <row r="33" spans="1:27">
      <c r="A33" s="257">
        <v>27</v>
      </c>
      <c r="B33" s="258" t="s">
        <v>203</v>
      </c>
      <c r="C33" s="259">
        <f>'Table 3 Levels 1&amp;2'!AO34</f>
        <v>35878738.515599996</v>
      </c>
      <c r="D33" s="260">
        <v>0</v>
      </c>
      <c r="E33" s="260">
        <v>-34780.954997674897</v>
      </c>
      <c r="F33" s="260">
        <f t="shared" si="2"/>
        <v>-34780.954997674897</v>
      </c>
      <c r="G33" s="259">
        <f t="shared" si="1"/>
        <v>0</v>
      </c>
      <c r="H33" s="260">
        <f t="shared" si="3"/>
        <v>-34780.954997674897</v>
      </c>
      <c r="I33" s="260">
        <f>'October midyear adj'!K32</f>
        <v>-140977.36131866404</v>
      </c>
      <c r="J33" s="260">
        <f>'February midyear adj '!K32</f>
        <v>64080.618781210927</v>
      </c>
      <c r="K33" s="260">
        <f t="shared" si="4"/>
        <v>-76896.742537453116</v>
      </c>
      <c r="L33" s="261"/>
      <c r="M33" s="261"/>
      <c r="N33" s="275">
        <f t="shared" si="5"/>
        <v>35767061</v>
      </c>
      <c r="O33" s="263">
        <f>-'[1]FY2011-12 EduJobs Program'!$C31</f>
        <v>-23071</v>
      </c>
      <c r="P33" s="264">
        <f t="shared" si="6"/>
        <v>35743990</v>
      </c>
      <c r="Q33" s="264">
        <f>[2]MFP!$EG34</f>
        <v>23891361</v>
      </c>
      <c r="R33" s="264">
        <f t="shared" si="7"/>
        <v>11852629</v>
      </c>
      <c r="S33" s="259">
        <f t="shared" si="8"/>
        <v>2963157</v>
      </c>
      <c r="T33" s="259">
        <f>'Table 4A Stipends'!G30</f>
        <v>0</v>
      </c>
      <c r="U33" s="260">
        <f t="shared" si="9"/>
        <v>35743990</v>
      </c>
    </row>
    <row r="34" spans="1:27">
      <c r="A34" s="257">
        <v>28</v>
      </c>
      <c r="B34" s="258" t="s">
        <v>204</v>
      </c>
      <c r="C34" s="259">
        <f>'Table 3 Levels 1&amp;2'!AO35</f>
        <v>119866171.9033408</v>
      </c>
      <c r="D34" s="260">
        <v>0</v>
      </c>
      <c r="E34" s="260">
        <v>-92740.976862606651</v>
      </c>
      <c r="F34" s="260">
        <f t="shared" si="2"/>
        <v>-92740.976862606651</v>
      </c>
      <c r="G34" s="259">
        <f t="shared" si="1"/>
        <v>0</v>
      </c>
      <c r="H34" s="260">
        <f t="shared" si="3"/>
        <v>-92740.976862606651</v>
      </c>
      <c r="I34" s="260">
        <f>'October midyear adj'!K33</f>
        <v>1454104.8993458713</v>
      </c>
      <c r="J34" s="260">
        <f>'February midyear adj '!K33</f>
        <v>-619416.19315711001</v>
      </c>
      <c r="K34" s="260">
        <f t="shared" si="4"/>
        <v>834688.70618876128</v>
      </c>
      <c r="L34" s="261"/>
      <c r="M34" s="261"/>
      <c r="N34" s="275">
        <f t="shared" si="5"/>
        <v>120608120</v>
      </c>
      <c r="O34" s="263">
        <f>-'[1]FY2011-12 EduJobs Program'!$C32</f>
        <v>-77065</v>
      </c>
      <c r="P34" s="264">
        <f t="shared" si="6"/>
        <v>120531055</v>
      </c>
      <c r="Q34" s="264">
        <f>[2]MFP!$EG35</f>
        <v>79833540</v>
      </c>
      <c r="R34" s="264">
        <f t="shared" si="7"/>
        <v>40697515</v>
      </c>
      <c r="S34" s="259">
        <f t="shared" si="8"/>
        <v>10174379</v>
      </c>
      <c r="T34" s="259">
        <f>'Table 4A Stipends'!G31</f>
        <v>78000</v>
      </c>
      <c r="U34" s="260">
        <f t="shared" si="9"/>
        <v>120609055</v>
      </c>
    </row>
    <row r="35" spans="1:27">
      <c r="A35" s="257">
        <v>29</v>
      </c>
      <c r="B35" s="258" t="s">
        <v>205</v>
      </c>
      <c r="C35" s="259">
        <f>'Table 3 Levels 1&amp;2'!AO36</f>
        <v>66681242.241313599</v>
      </c>
      <c r="D35" s="260">
        <v>0</v>
      </c>
      <c r="E35" s="260">
        <v>-74330.82954048281</v>
      </c>
      <c r="F35" s="260">
        <f t="shared" si="2"/>
        <v>-74330.82954048281</v>
      </c>
      <c r="G35" s="259">
        <f t="shared" si="1"/>
        <v>0</v>
      </c>
      <c r="H35" s="260">
        <f t="shared" si="3"/>
        <v>-74330.82954048281</v>
      </c>
      <c r="I35" s="260">
        <f>'October midyear adj'!K34</f>
        <v>961224.62581474497</v>
      </c>
      <c r="J35" s="260">
        <f>'February midyear adj '!K34</f>
        <v>-356743.16009619401</v>
      </c>
      <c r="K35" s="260">
        <f t="shared" si="4"/>
        <v>604481.46571855096</v>
      </c>
      <c r="L35" s="261"/>
      <c r="M35" s="261"/>
      <c r="N35" s="275">
        <f t="shared" si="5"/>
        <v>67211393</v>
      </c>
      <c r="O35" s="263">
        <f>-'[1]FY2011-12 EduJobs Program'!$C33</f>
        <v>-43713</v>
      </c>
      <c r="P35" s="264">
        <f t="shared" si="6"/>
        <v>67167680</v>
      </c>
      <c r="Q35" s="264">
        <f>[2]MFP!$EG36</f>
        <v>44395865</v>
      </c>
      <c r="R35" s="264">
        <f t="shared" si="7"/>
        <v>22771815</v>
      </c>
      <c r="S35" s="259">
        <f t="shared" si="8"/>
        <v>5692954</v>
      </c>
      <c r="T35" s="259">
        <f>'Table 4A Stipends'!G32</f>
        <v>16000</v>
      </c>
      <c r="U35" s="260">
        <f t="shared" si="9"/>
        <v>67183680</v>
      </c>
    </row>
    <row r="36" spans="1:27">
      <c r="A36" s="266">
        <v>30</v>
      </c>
      <c r="B36" s="267" t="s">
        <v>206</v>
      </c>
      <c r="C36" s="268">
        <f>'Table 3 Levels 1&amp;2'!AO37</f>
        <v>15881213.792093601</v>
      </c>
      <c r="D36" s="269">
        <v>0</v>
      </c>
      <c r="E36" s="269">
        <v>-23805.243335572624</v>
      </c>
      <c r="F36" s="269">
        <f t="shared" si="2"/>
        <v>-23805.243335572624</v>
      </c>
      <c r="G36" s="268">
        <f t="shared" si="1"/>
        <v>0</v>
      </c>
      <c r="H36" s="269">
        <f t="shared" si="3"/>
        <v>-23805.243335572624</v>
      </c>
      <c r="I36" s="269">
        <f>'October midyear adj'!K35</f>
        <v>208278.21104385052</v>
      </c>
      <c r="J36" s="269">
        <f>'February midyear adj '!K35</f>
        <v>-133428.22894996672</v>
      </c>
      <c r="K36" s="269">
        <f t="shared" si="4"/>
        <v>74849.982093883795</v>
      </c>
      <c r="L36" s="270"/>
      <c r="M36" s="270"/>
      <c r="N36" s="276">
        <f t="shared" si="5"/>
        <v>15932259</v>
      </c>
      <c r="O36" s="272">
        <f>-'[1]FY2011-12 EduJobs Program'!$C34</f>
        <v>-10311</v>
      </c>
      <c r="P36" s="273">
        <f t="shared" si="6"/>
        <v>15921948</v>
      </c>
      <c r="Q36" s="273">
        <f>[2]MFP!$EG37</f>
        <v>10569545</v>
      </c>
      <c r="R36" s="273">
        <f t="shared" si="7"/>
        <v>5352403</v>
      </c>
      <c r="S36" s="268">
        <f t="shared" si="8"/>
        <v>1338101</v>
      </c>
      <c r="T36" s="268">
        <f>'Table 4A Stipends'!G33</f>
        <v>0</v>
      </c>
      <c r="U36" s="269">
        <f t="shared" si="9"/>
        <v>15921948</v>
      </c>
    </row>
    <row r="37" spans="1:27">
      <c r="A37" s="257">
        <v>31</v>
      </c>
      <c r="B37" s="258" t="s">
        <v>207</v>
      </c>
      <c r="C37" s="259">
        <f>'Table 3 Levels 1&amp;2'!AO38</f>
        <v>31403529.1727456</v>
      </c>
      <c r="D37" s="260">
        <v>0</v>
      </c>
      <c r="E37" s="260">
        <v>-323.52592327384627</v>
      </c>
      <c r="F37" s="260">
        <f t="shared" si="2"/>
        <v>-323.52592327384627</v>
      </c>
      <c r="G37" s="259">
        <f t="shared" si="1"/>
        <v>0</v>
      </c>
      <c r="H37" s="260">
        <f t="shared" si="3"/>
        <v>-323.52592327384627</v>
      </c>
      <c r="I37" s="260">
        <f>'October midyear adj'!K36+'October midyear adj'!K109</f>
        <v>-67951.995335152751</v>
      </c>
      <c r="J37" s="260">
        <f>'February midyear adj '!K36+'February midyear adj '!K110</f>
        <v>-9707.4279050218229</v>
      </c>
      <c r="K37" s="260">
        <f t="shared" si="4"/>
        <v>-77659.423240174568</v>
      </c>
      <c r="L37" s="261"/>
      <c r="M37" s="261">
        <f>-'Table 5C1 - Type 2s'!K26</f>
        <v>-7280.5709287663685</v>
      </c>
      <c r="N37" s="275">
        <f t="shared" si="5"/>
        <v>31318266</v>
      </c>
      <c r="O37" s="263">
        <f>-'[1]FY2011-12 EduJobs Program'!$C35</f>
        <v>-19827</v>
      </c>
      <c r="P37" s="264">
        <f t="shared" si="6"/>
        <v>31298439</v>
      </c>
      <c r="Q37" s="264">
        <f>[2]MFP!$EG38</f>
        <v>20915324</v>
      </c>
      <c r="R37" s="264">
        <f t="shared" si="7"/>
        <v>10383115</v>
      </c>
      <c r="S37" s="259">
        <f t="shared" si="8"/>
        <v>2595779</v>
      </c>
      <c r="T37" s="259">
        <f>'Table 4A Stipends'!G34</f>
        <v>0</v>
      </c>
      <c r="U37" s="260">
        <f t="shared" si="9"/>
        <v>31298439</v>
      </c>
    </row>
    <row r="38" spans="1:27">
      <c r="A38" s="257">
        <v>32</v>
      </c>
      <c r="B38" s="258" t="s">
        <v>208</v>
      </c>
      <c r="C38" s="259">
        <f>'Table 3 Levels 1&amp;2'!AO39</f>
        <v>143816290.96811199</v>
      </c>
      <c r="D38" s="260">
        <v>0</v>
      </c>
      <c r="E38" s="260">
        <v>-177046.24909622309</v>
      </c>
      <c r="F38" s="260">
        <f t="shared" si="2"/>
        <v>-177046.24909622309</v>
      </c>
      <c r="G38" s="259">
        <f t="shared" si="1"/>
        <v>0</v>
      </c>
      <c r="H38" s="260">
        <f t="shared" si="3"/>
        <v>-177046.24909622309</v>
      </c>
      <c r="I38" s="260">
        <f>'October midyear adj'!K37</f>
        <v>2224518.0895691332</v>
      </c>
      <c r="J38" s="260">
        <f>'February midyear adj '!K37+'February midyear adj '!K102</f>
        <v>-206306.11314552446</v>
      </c>
      <c r="K38" s="260">
        <f t="shared" si="4"/>
        <v>2018211.9764236088</v>
      </c>
      <c r="L38" s="261"/>
      <c r="M38" s="261">
        <f>-'Table 5C1 - Type 2s'!K7</f>
        <v>-2989.943668775717</v>
      </c>
      <c r="N38" s="275">
        <f t="shared" si="5"/>
        <v>145654467</v>
      </c>
      <c r="O38" s="263">
        <f>-'[1]FY2011-12 EduJobs Program'!$C36</f>
        <v>-94166</v>
      </c>
      <c r="P38" s="264">
        <f t="shared" si="6"/>
        <v>145560301</v>
      </c>
      <c r="Q38" s="264">
        <f>[2]MFP!$EG39</f>
        <v>95740663</v>
      </c>
      <c r="R38" s="264">
        <f t="shared" si="7"/>
        <v>49819638</v>
      </c>
      <c r="S38" s="259">
        <f t="shared" si="8"/>
        <v>12454910</v>
      </c>
      <c r="T38" s="259">
        <f>'Table 4A Stipends'!G35</f>
        <v>0</v>
      </c>
      <c r="U38" s="260">
        <f t="shared" si="9"/>
        <v>145560301</v>
      </c>
    </row>
    <row r="39" spans="1:27">
      <c r="A39" s="257">
        <v>33</v>
      </c>
      <c r="B39" s="258" t="s">
        <v>209</v>
      </c>
      <c r="C39" s="259">
        <f>'Table 3 Levels 1&amp;2'!AO40</f>
        <v>11685028.229952</v>
      </c>
      <c r="D39" s="260">
        <v>0</v>
      </c>
      <c r="E39" s="260">
        <v>-105851.89847905113</v>
      </c>
      <c r="F39" s="260">
        <f t="shared" si="2"/>
        <v>-105851.89847905113</v>
      </c>
      <c r="G39" s="259">
        <f t="shared" si="1"/>
        <v>0</v>
      </c>
      <c r="H39" s="260">
        <f t="shared" si="3"/>
        <v>-105851.89847905113</v>
      </c>
      <c r="I39" s="260">
        <f>'October midyear adj'!K38</f>
        <v>63782.904748646295</v>
      </c>
      <c r="J39" s="260">
        <f>'February midyear adj '!K38</f>
        <v>60593.759511213982</v>
      </c>
      <c r="K39" s="260">
        <f t="shared" si="4"/>
        <v>124376.66425986028</v>
      </c>
      <c r="L39" s="261"/>
      <c r="M39" s="261"/>
      <c r="N39" s="275">
        <f t="shared" si="5"/>
        <v>11703553</v>
      </c>
      <c r="O39" s="263">
        <f>-'[1]FY2011-12 EduJobs Program'!$C37</f>
        <v>-8283</v>
      </c>
      <c r="P39" s="264">
        <f t="shared" si="6"/>
        <v>11695270</v>
      </c>
      <c r="Q39" s="264">
        <f>[2]MFP!$EG40</f>
        <v>7717792</v>
      </c>
      <c r="R39" s="264">
        <f t="shared" si="7"/>
        <v>3977478</v>
      </c>
      <c r="S39" s="259">
        <f t="shared" si="8"/>
        <v>994370</v>
      </c>
      <c r="T39" s="259">
        <f>'Table 4A Stipends'!G36</f>
        <v>6000</v>
      </c>
      <c r="U39" s="260">
        <f t="shared" si="9"/>
        <v>11701270</v>
      </c>
    </row>
    <row r="40" spans="1:27">
      <c r="A40" s="257">
        <v>34</v>
      </c>
      <c r="B40" s="258" t="s">
        <v>210</v>
      </c>
      <c r="C40" s="259">
        <f>'Table 3 Levels 1&amp;2'!AO41</f>
        <v>27974839.478</v>
      </c>
      <c r="D40" s="260">
        <v>0</v>
      </c>
      <c r="E40" s="260">
        <v>-46311.834804595521</v>
      </c>
      <c r="F40" s="260">
        <f t="shared" si="2"/>
        <v>-46311.834804595521</v>
      </c>
      <c r="G40" s="259">
        <f t="shared" si="1"/>
        <v>0</v>
      </c>
      <c r="H40" s="260">
        <f t="shared" si="3"/>
        <v>-46311.834804595521</v>
      </c>
      <c r="I40" s="260">
        <f>'October midyear adj'!K39</f>
        <v>-205084.73495899199</v>
      </c>
      <c r="J40" s="260">
        <f>'February midyear adj '!K39</f>
        <v>-67293.428658419245</v>
      </c>
      <c r="K40" s="260">
        <f t="shared" si="4"/>
        <v>-272378.16361741122</v>
      </c>
      <c r="L40" s="261"/>
      <c r="M40" s="261"/>
      <c r="N40" s="275">
        <f t="shared" si="5"/>
        <v>27656149</v>
      </c>
      <c r="O40" s="263">
        <f>-'[1]FY2011-12 EduJobs Program'!$C38</f>
        <v>-18057</v>
      </c>
      <c r="P40" s="264">
        <f t="shared" si="6"/>
        <v>27638092</v>
      </c>
      <c r="Q40" s="264">
        <f>[2]MFP!$EG41</f>
        <v>18615405</v>
      </c>
      <c r="R40" s="264">
        <f t="shared" si="7"/>
        <v>9022687</v>
      </c>
      <c r="S40" s="259">
        <f t="shared" si="8"/>
        <v>2255672</v>
      </c>
      <c r="T40" s="259">
        <f>'Table 4A Stipends'!G37</f>
        <v>0</v>
      </c>
      <c r="U40" s="260">
        <f t="shared" si="9"/>
        <v>27638092</v>
      </c>
      <c r="V40" s="1478"/>
      <c r="W40" s="1478"/>
      <c r="X40" s="1478"/>
      <c r="Y40" s="1478"/>
      <c r="Z40" s="1478"/>
      <c r="AA40" s="1478"/>
    </row>
    <row r="41" spans="1:27">
      <c r="A41" s="266">
        <v>35</v>
      </c>
      <c r="B41" s="267" t="s">
        <v>211</v>
      </c>
      <c r="C41" s="268">
        <f>'Table 3 Levels 1&amp;2'!AO42</f>
        <v>35425391.286192</v>
      </c>
      <c r="D41" s="269">
        <v>0</v>
      </c>
      <c r="E41" s="269">
        <v>-119423.95576484106</v>
      </c>
      <c r="F41" s="269">
        <f t="shared" si="2"/>
        <v>-119423.95576484106</v>
      </c>
      <c r="G41" s="268">
        <f t="shared" si="1"/>
        <v>0</v>
      </c>
      <c r="H41" s="269">
        <f t="shared" si="3"/>
        <v>-119423.95576484106</v>
      </c>
      <c r="I41" s="269">
        <f>'October midyear adj'!K40</f>
        <v>115553.46801646971</v>
      </c>
      <c r="J41" s="269">
        <f>'February midyear adj '!K40</f>
        <v>-60528.007056246039</v>
      </c>
      <c r="K41" s="269">
        <f t="shared" si="4"/>
        <v>55025.460960223667</v>
      </c>
      <c r="L41" s="270"/>
      <c r="M41" s="270"/>
      <c r="N41" s="276">
        <f t="shared" si="5"/>
        <v>35360993</v>
      </c>
      <c r="O41" s="272">
        <f>-'[1]FY2011-12 EduJobs Program'!$C39</f>
        <v>-23294</v>
      </c>
      <c r="P41" s="273">
        <f t="shared" si="6"/>
        <v>35337699</v>
      </c>
      <c r="Q41" s="273">
        <f>[2]MFP!$EG42</f>
        <v>23532653</v>
      </c>
      <c r="R41" s="273">
        <f t="shared" si="7"/>
        <v>11805046</v>
      </c>
      <c r="S41" s="268">
        <f t="shared" si="8"/>
        <v>2951262</v>
      </c>
      <c r="T41" s="268">
        <f>'Table 4A Stipends'!G38</f>
        <v>0</v>
      </c>
      <c r="U41" s="269">
        <f t="shared" si="9"/>
        <v>35337699</v>
      </c>
      <c r="V41" s="1478"/>
      <c r="W41" s="1478"/>
      <c r="X41" s="1478"/>
      <c r="Y41" s="1478"/>
      <c r="Z41" s="1478"/>
      <c r="AA41" s="1478"/>
    </row>
    <row r="42" spans="1:27" ht="12.75" customHeight="1">
      <c r="A42" s="257">
        <v>36</v>
      </c>
      <c r="B42" s="258" t="s">
        <v>74</v>
      </c>
      <c r="C42" s="259">
        <f>'Table 3 Levels 1&amp;2'!AO43</f>
        <v>149242600.65349659</v>
      </c>
      <c r="D42" s="260">
        <v>0</v>
      </c>
      <c r="E42" s="260">
        <v>-102606.62743449569</v>
      </c>
      <c r="F42" s="260">
        <f t="shared" si="2"/>
        <v>-102606.62743449569</v>
      </c>
      <c r="G42" s="259">
        <f t="shared" si="1"/>
        <v>0</v>
      </c>
      <c r="H42" s="260">
        <f t="shared" si="3"/>
        <v>-102606.62743449569</v>
      </c>
      <c r="I42" s="260">
        <f>'October midyear adj'!K41+'October midyear adj'!K189+'October midyear adj'!K132+'October midyear adj'!K136+'October midyear adj'!K113</f>
        <v>7932021.2668723157</v>
      </c>
      <c r="J42" s="260">
        <f>'February midyear adj '!K41+'February midyear adj '!K193+'February midyear adj '!K136+'February midyear adj '!K140+'February midyear adj '!K114</f>
        <v>-222452.81223654936</v>
      </c>
      <c r="K42" s="260">
        <f t="shared" si="4"/>
        <v>7709568.4546357663</v>
      </c>
      <c r="L42" s="261">
        <f>-'Table 5B1_RSD_Orleans'!L63</f>
        <v>-113481649.76478171</v>
      </c>
      <c r="M42" s="261">
        <f>-'Table 5C1 - Type 2s'!K41</f>
        <v>-1079476.3775561736</v>
      </c>
      <c r="N42" s="275">
        <f t="shared" si="5"/>
        <v>42288436</v>
      </c>
      <c r="O42" s="263">
        <f>-'[1]FY2011-12 EduJobs Program'!$C40</f>
        <v>-26059</v>
      </c>
      <c r="P42" s="264">
        <f t="shared" si="6"/>
        <v>42262377</v>
      </c>
      <c r="Q42" s="264">
        <f>[2]MFP!$EG43</f>
        <v>27025133</v>
      </c>
      <c r="R42" s="264">
        <f t="shared" si="7"/>
        <v>15237244</v>
      </c>
      <c r="S42" s="259">
        <f t="shared" si="8"/>
        <v>3809311</v>
      </c>
      <c r="T42" s="259">
        <f>'Table 4A Stipends'!G39</f>
        <v>80000</v>
      </c>
      <c r="U42" s="260">
        <f t="shared" si="9"/>
        <v>42342377</v>
      </c>
      <c r="V42" s="1626" t="s">
        <v>212</v>
      </c>
      <c r="W42" s="1627"/>
      <c r="X42" s="1627"/>
      <c r="Y42" s="1627"/>
      <c r="Z42" s="1627"/>
      <c r="AA42" s="1627"/>
    </row>
    <row r="43" spans="1:27">
      <c r="A43" s="257">
        <v>37</v>
      </c>
      <c r="B43" s="258" t="s">
        <v>213</v>
      </c>
      <c r="C43" s="259">
        <f>'Table 3 Levels 1&amp;2'!AO44</f>
        <v>116712950.68237481</v>
      </c>
      <c r="D43" s="260">
        <v>0</v>
      </c>
      <c r="E43" s="260">
        <v>-318431.1996355697</v>
      </c>
      <c r="F43" s="260">
        <f t="shared" si="2"/>
        <v>-318431.1996355697</v>
      </c>
      <c r="G43" s="259">
        <f t="shared" si="1"/>
        <v>0</v>
      </c>
      <c r="H43" s="260">
        <f t="shared" si="3"/>
        <v>-318431.1996355697</v>
      </c>
      <c r="I43" s="260">
        <f>'October midyear adj'!K42+'October midyear adj'!K108</f>
        <v>1347653.8719740964</v>
      </c>
      <c r="J43" s="260">
        <f>'February midyear adj '!K42+'February midyear adj '!K109</f>
        <v>-150079.63574256981</v>
      </c>
      <c r="K43" s="260">
        <f t="shared" si="4"/>
        <v>1197574.2362315266</v>
      </c>
      <c r="L43" s="261"/>
      <c r="M43" s="261">
        <f>-'Table 5C1 - Type 2s'!K25</f>
        <v>-12251.398836128144</v>
      </c>
      <c r="N43" s="275">
        <f t="shared" si="5"/>
        <v>117579842</v>
      </c>
      <c r="O43" s="263">
        <f>-'[1]FY2011-12 EduJobs Program'!$C41</f>
        <v>-75614</v>
      </c>
      <c r="P43" s="264">
        <f t="shared" si="6"/>
        <v>117504228</v>
      </c>
      <c r="Q43" s="264">
        <f>[2]MFP!$EG44</f>
        <v>77552637</v>
      </c>
      <c r="R43" s="264">
        <f t="shared" si="7"/>
        <v>39951591</v>
      </c>
      <c r="S43" s="259">
        <f t="shared" si="8"/>
        <v>9987898</v>
      </c>
      <c r="T43" s="259">
        <f>'Table 4A Stipends'!G40</f>
        <v>0</v>
      </c>
      <c r="U43" s="260">
        <f t="shared" si="9"/>
        <v>117504228</v>
      </c>
      <c r="V43" s="1626"/>
      <c r="W43" s="1627"/>
      <c r="X43" s="1627"/>
      <c r="Y43" s="1627"/>
      <c r="Z43" s="1627"/>
      <c r="AA43" s="1627"/>
    </row>
    <row r="44" spans="1:27">
      <c r="A44" s="257">
        <v>38</v>
      </c>
      <c r="B44" s="258" t="s">
        <v>214</v>
      </c>
      <c r="C44" s="259">
        <f>'Table 3 Levels 1&amp;2'!AO45</f>
        <v>12028311.25</v>
      </c>
      <c r="D44" s="260">
        <v>0</v>
      </c>
      <c r="E44" s="260">
        <v>-2266.9231044180397</v>
      </c>
      <c r="F44" s="260">
        <f t="shared" si="2"/>
        <v>-2266.9231044180397</v>
      </c>
      <c r="G44" s="259">
        <f t="shared" si="1"/>
        <v>0</v>
      </c>
      <c r="H44" s="260">
        <f t="shared" si="3"/>
        <v>-2266.9231044180397</v>
      </c>
      <c r="I44" s="260">
        <f>'October midyear adj'!K43</f>
        <v>67756.043779506435</v>
      </c>
      <c r="J44" s="260">
        <f>'February midyear adj '!K43</f>
        <v>1613.2391376072962</v>
      </c>
      <c r="K44" s="260">
        <f t="shared" si="4"/>
        <v>69369.282917113727</v>
      </c>
      <c r="L44" s="261"/>
      <c r="M44" s="261"/>
      <c r="N44" s="275">
        <f t="shared" si="5"/>
        <v>12095414</v>
      </c>
      <c r="O44" s="263">
        <f>-'[1]FY2011-12 EduJobs Program'!$C42</f>
        <v>-8078</v>
      </c>
      <c r="P44" s="264">
        <f t="shared" si="6"/>
        <v>12087336</v>
      </c>
      <c r="Q44" s="264">
        <f>[2]MFP!$EG45</f>
        <v>8015745</v>
      </c>
      <c r="R44" s="264">
        <f t="shared" si="7"/>
        <v>4071591</v>
      </c>
      <c r="S44" s="259">
        <f t="shared" si="8"/>
        <v>1017898</v>
      </c>
      <c r="T44" s="259">
        <f>'Table 4A Stipends'!G41</f>
        <v>4000</v>
      </c>
      <c r="U44" s="260">
        <f t="shared" si="9"/>
        <v>12091336</v>
      </c>
      <c r="V44" s="1626"/>
      <c r="W44" s="1627"/>
      <c r="X44" s="1627"/>
      <c r="Y44" s="1627"/>
      <c r="Z44" s="1627"/>
      <c r="AA44" s="1627"/>
    </row>
    <row r="45" spans="1:27">
      <c r="A45" s="257">
        <v>39</v>
      </c>
      <c r="B45" s="258" t="s">
        <v>76</v>
      </c>
      <c r="C45" s="259">
        <f>'Table 3 Levels 1&amp;2'!AO46</f>
        <v>12418883.398632459</v>
      </c>
      <c r="D45" s="260">
        <v>0</v>
      </c>
      <c r="E45" s="260">
        <v>-42189.185222950255</v>
      </c>
      <c r="F45" s="260">
        <f t="shared" si="2"/>
        <v>-42189.185222950255</v>
      </c>
      <c r="G45" s="259">
        <f t="shared" si="1"/>
        <v>0</v>
      </c>
      <c r="H45" s="260">
        <f t="shared" si="3"/>
        <v>-42189.185222950255</v>
      </c>
      <c r="I45" s="260">
        <f>'October midyear adj'!K44+'October midyear adj'!K199</f>
        <v>344485.68829758407</v>
      </c>
      <c r="J45" s="260">
        <f>'February midyear adj '!K44+'February midyear adj '!K203</f>
        <v>-78726.726068394899</v>
      </c>
      <c r="K45" s="260">
        <f t="shared" si="4"/>
        <v>265758.96222918917</v>
      </c>
      <c r="L45" s="261">
        <f>-'Table 5B2_RSD_LA'!L23</f>
        <v>-1260932.8747620026</v>
      </c>
      <c r="M45" s="261"/>
      <c r="N45" s="275">
        <f t="shared" si="5"/>
        <v>11381520</v>
      </c>
      <c r="O45" s="263">
        <f>-'[1]FY2011-12 EduJobs Program'!$C43</f>
        <v>-7163</v>
      </c>
      <c r="P45" s="264">
        <f t="shared" si="6"/>
        <v>11374357</v>
      </c>
      <c r="Q45" s="264">
        <f>[2]MFP!$EG46</f>
        <v>7366974</v>
      </c>
      <c r="R45" s="264">
        <f t="shared" si="7"/>
        <v>4007383</v>
      </c>
      <c r="S45" s="259">
        <f t="shared" si="8"/>
        <v>1001846</v>
      </c>
      <c r="T45" s="259">
        <f>'Table 4A Stipends'!G42</f>
        <v>0</v>
      </c>
      <c r="U45" s="260">
        <f t="shared" si="9"/>
        <v>11374357</v>
      </c>
      <c r="V45" s="277"/>
      <c r="W45" s="278"/>
      <c r="X45" s="278"/>
      <c r="Y45" s="278"/>
      <c r="Z45" s="278"/>
      <c r="AA45" s="278"/>
    </row>
    <row r="46" spans="1:27">
      <c r="A46" s="266">
        <v>40</v>
      </c>
      <c r="B46" s="267" t="s">
        <v>215</v>
      </c>
      <c r="C46" s="268">
        <f>'Table 3 Levels 1&amp;2'!AO47</f>
        <v>125169112.865096</v>
      </c>
      <c r="D46" s="269">
        <v>0</v>
      </c>
      <c r="E46" s="269">
        <v>-46769.331553224882</v>
      </c>
      <c r="F46" s="269">
        <f t="shared" si="2"/>
        <v>-46769.331553224882</v>
      </c>
      <c r="G46" s="268">
        <f t="shared" si="1"/>
        <v>0</v>
      </c>
      <c r="H46" s="269">
        <f t="shared" si="3"/>
        <v>-46769.331553224882</v>
      </c>
      <c r="I46" s="269">
        <f>'October midyear adj'!K45</f>
        <v>1715699.9882606957</v>
      </c>
      <c r="J46" s="269">
        <f>'February midyear adj '!K45</f>
        <v>-384932.689673874</v>
      </c>
      <c r="K46" s="269">
        <f t="shared" si="4"/>
        <v>1330767.2985868216</v>
      </c>
      <c r="L46" s="270"/>
      <c r="M46" s="270"/>
      <c r="N46" s="276">
        <f t="shared" si="5"/>
        <v>126453111</v>
      </c>
      <c r="O46" s="272">
        <f>-'[1]FY2011-12 EduJobs Program'!$C44</f>
        <v>-80131</v>
      </c>
      <c r="P46" s="273">
        <f t="shared" si="6"/>
        <v>126372980</v>
      </c>
      <c r="Q46" s="273">
        <f>[2]MFP!$EG47</f>
        <v>83398870</v>
      </c>
      <c r="R46" s="273">
        <f t="shared" si="7"/>
        <v>42974110</v>
      </c>
      <c r="S46" s="268">
        <f t="shared" si="8"/>
        <v>10743528</v>
      </c>
      <c r="T46" s="268">
        <f>'Table 4A Stipends'!G43</f>
        <v>0</v>
      </c>
      <c r="U46" s="269">
        <f t="shared" si="9"/>
        <v>126372980</v>
      </c>
    </row>
    <row r="47" spans="1:27">
      <c r="A47" s="257">
        <v>41</v>
      </c>
      <c r="B47" s="258" t="s">
        <v>216</v>
      </c>
      <c r="C47" s="259">
        <f>'Table 3 Levels 1&amp;2'!AO48</f>
        <v>4494177</v>
      </c>
      <c r="D47" s="260">
        <v>0</v>
      </c>
      <c r="E47" s="260">
        <v>-65538.672350943816</v>
      </c>
      <c r="F47" s="260">
        <f t="shared" si="2"/>
        <v>-65538.672350943816</v>
      </c>
      <c r="G47" s="259">
        <f t="shared" si="1"/>
        <v>0</v>
      </c>
      <c r="H47" s="260">
        <f t="shared" si="3"/>
        <v>-65538.672350943816</v>
      </c>
      <c r="I47" s="260">
        <f>'October midyear adj'!K46</f>
        <v>-75216.35949790795</v>
      </c>
      <c r="J47" s="260">
        <f>'February midyear adj '!K46</f>
        <v>-14103.067405857739</v>
      </c>
      <c r="K47" s="260">
        <f t="shared" si="4"/>
        <v>-89319.426903765692</v>
      </c>
      <c r="L47" s="261"/>
      <c r="M47" s="261"/>
      <c r="N47" s="275">
        <f t="shared" si="5"/>
        <v>4339319</v>
      </c>
      <c r="O47" s="263">
        <f>-'[1]FY2011-12 EduJobs Program'!$C45</f>
        <v>-6358</v>
      </c>
      <c r="P47" s="264">
        <f t="shared" si="6"/>
        <v>4332961</v>
      </c>
      <c r="Q47" s="264">
        <f>[2]MFP!$EG48</f>
        <v>2951153</v>
      </c>
      <c r="R47" s="264">
        <f t="shared" si="7"/>
        <v>1381808</v>
      </c>
      <c r="S47" s="259">
        <f t="shared" si="8"/>
        <v>345452</v>
      </c>
      <c r="T47" s="259">
        <f>'Table 4A Stipends'!G44</f>
        <v>0</v>
      </c>
      <c r="U47" s="260">
        <f t="shared" si="9"/>
        <v>4332961</v>
      </c>
    </row>
    <row r="48" spans="1:27">
      <c r="A48" s="257">
        <v>42</v>
      </c>
      <c r="B48" s="258" t="s">
        <v>217</v>
      </c>
      <c r="C48" s="259">
        <f>'Table 3 Levels 1&amp;2'!AO49</f>
        <v>19904635.490291201</v>
      </c>
      <c r="D48" s="260">
        <v>0</v>
      </c>
      <c r="E48" s="260">
        <v>58472.861919039104</v>
      </c>
      <c r="F48" s="260">
        <f t="shared" si="2"/>
        <v>58472.861919039104</v>
      </c>
      <c r="G48" s="259">
        <f t="shared" si="1"/>
        <v>58472.861919039104</v>
      </c>
      <c r="H48" s="260">
        <f t="shared" si="3"/>
        <v>0</v>
      </c>
      <c r="I48" s="260">
        <f>'October midyear adj'!K47</f>
        <v>579395.10288294579</v>
      </c>
      <c r="J48" s="260">
        <f>'February midyear adj '!K47</f>
        <v>90530.484825460269</v>
      </c>
      <c r="K48" s="260">
        <f t="shared" si="4"/>
        <v>669925.58770840603</v>
      </c>
      <c r="L48" s="261"/>
      <c r="M48" s="261"/>
      <c r="N48" s="275">
        <f t="shared" si="5"/>
        <v>20633034</v>
      </c>
      <c r="O48" s="263">
        <f>-'[1]FY2011-12 EduJobs Program'!$C46</f>
        <v>-13398</v>
      </c>
      <c r="P48" s="264">
        <f t="shared" si="6"/>
        <v>20619636</v>
      </c>
      <c r="Q48" s="264">
        <f>[2]MFP!$EG49</f>
        <v>13306057</v>
      </c>
      <c r="R48" s="264">
        <f t="shared" si="7"/>
        <v>7313579</v>
      </c>
      <c r="S48" s="259">
        <f t="shared" si="8"/>
        <v>1828395</v>
      </c>
      <c r="T48" s="259">
        <f>'Table 4A Stipends'!G45</f>
        <v>0</v>
      </c>
      <c r="U48" s="260">
        <f t="shared" si="9"/>
        <v>20619636</v>
      </c>
    </row>
    <row r="49" spans="1:21">
      <c r="A49" s="257">
        <v>43</v>
      </c>
      <c r="B49" s="258" t="s">
        <v>218</v>
      </c>
      <c r="C49" s="259">
        <f>'Table 3 Levels 1&amp;2'!AO50</f>
        <v>26024561.8218536</v>
      </c>
      <c r="D49" s="260">
        <v>0</v>
      </c>
      <c r="E49" s="260">
        <v>-11025.434533476579</v>
      </c>
      <c r="F49" s="260">
        <f t="shared" si="2"/>
        <v>-11025.434533476579</v>
      </c>
      <c r="G49" s="259">
        <f t="shared" si="1"/>
        <v>0</v>
      </c>
      <c r="H49" s="260">
        <f t="shared" si="3"/>
        <v>-11025.434533476579</v>
      </c>
      <c r="I49" s="260">
        <f>'October midyear adj'!K48</f>
        <v>-163429.8055253303</v>
      </c>
      <c r="J49" s="260">
        <f>'February midyear adj '!K48</f>
        <v>29417.364994559455</v>
      </c>
      <c r="K49" s="260">
        <f t="shared" si="4"/>
        <v>-134012.44053077084</v>
      </c>
      <c r="L49" s="261"/>
      <c r="M49" s="261"/>
      <c r="N49" s="262">
        <f t="shared" si="5"/>
        <v>25879524</v>
      </c>
      <c r="O49" s="263">
        <f>-'[1]FY2011-12 EduJobs Program'!$C47</f>
        <v>-16612</v>
      </c>
      <c r="P49" s="264">
        <f t="shared" si="6"/>
        <v>25862912</v>
      </c>
      <c r="Q49" s="264">
        <f>[2]MFP!$EG50</f>
        <v>17339037</v>
      </c>
      <c r="R49" s="264">
        <f t="shared" si="7"/>
        <v>8523875</v>
      </c>
      <c r="S49" s="259">
        <f t="shared" si="8"/>
        <v>2130969</v>
      </c>
      <c r="T49" s="259">
        <f>'Table 4A Stipends'!G46</f>
        <v>0</v>
      </c>
      <c r="U49" s="259">
        <f t="shared" si="9"/>
        <v>25862912</v>
      </c>
    </row>
    <row r="50" spans="1:21">
      <c r="A50" s="257">
        <v>44</v>
      </c>
      <c r="B50" s="258" t="s">
        <v>219</v>
      </c>
      <c r="C50" s="259">
        <f>'Table 3 Levels 1&amp;2'!AO51</f>
        <v>27305974.204366401</v>
      </c>
      <c r="D50" s="260">
        <v>11393.076553022023</v>
      </c>
      <c r="E50" s="260">
        <v>-62803.755432334627</v>
      </c>
      <c r="F50" s="260">
        <f t="shared" si="2"/>
        <v>-51410.678879312603</v>
      </c>
      <c r="G50" s="259">
        <f t="shared" si="1"/>
        <v>0</v>
      </c>
      <c r="H50" s="260">
        <f t="shared" si="3"/>
        <v>-51410.678879312603</v>
      </c>
      <c r="I50" s="260">
        <f>'October midyear adj'!K49+'October midyear adj'!K115</f>
        <v>1837467.6680709876</v>
      </c>
      <c r="J50" s="260">
        <f>'February midyear adj '!K49+'February midyear adj '!K116</f>
        <v>105428.47275817143</v>
      </c>
      <c r="K50" s="260">
        <f t="shared" si="4"/>
        <v>1942896.1408291589</v>
      </c>
      <c r="L50" s="261"/>
      <c r="M50" s="261">
        <f>-'Table 5C1 - Type 2s'!K43</f>
        <v>-5020.4034646748296</v>
      </c>
      <c r="N50" s="262">
        <f t="shared" si="5"/>
        <v>29192439</v>
      </c>
      <c r="O50" s="263">
        <f>-'[1]FY2011-12 EduJobs Program'!$C48</f>
        <v>-18289</v>
      </c>
      <c r="P50" s="264">
        <f t="shared" si="6"/>
        <v>29174150</v>
      </c>
      <c r="Q50" s="264">
        <f>[2]MFP!$EG51</f>
        <v>18166053</v>
      </c>
      <c r="R50" s="264">
        <f t="shared" si="7"/>
        <v>11008097</v>
      </c>
      <c r="S50" s="259">
        <f t="shared" si="8"/>
        <v>2752024</v>
      </c>
      <c r="T50" s="259">
        <f>'Table 4A Stipends'!G47</f>
        <v>0</v>
      </c>
      <c r="U50" s="259">
        <f t="shared" si="9"/>
        <v>29174150</v>
      </c>
    </row>
    <row r="51" spans="1:21">
      <c r="A51" s="266">
        <v>45</v>
      </c>
      <c r="B51" s="267" t="s">
        <v>220</v>
      </c>
      <c r="C51" s="268">
        <f>'Table 3 Levels 1&amp;2'!AO52</f>
        <v>30029263</v>
      </c>
      <c r="D51" s="269">
        <v>0</v>
      </c>
      <c r="E51" s="269">
        <v>-35095.754272894075</v>
      </c>
      <c r="F51" s="269">
        <f t="shared" si="2"/>
        <v>-35095.754272894075</v>
      </c>
      <c r="G51" s="268">
        <f t="shared" si="1"/>
        <v>0</v>
      </c>
      <c r="H51" s="269">
        <f t="shared" si="3"/>
        <v>-35095.754272894075</v>
      </c>
      <c r="I51" s="269">
        <f>'October midyear adj'!K50+'October midyear adj'!K116</f>
        <v>210172.99520678684</v>
      </c>
      <c r="J51" s="269">
        <f>'February midyear adj '!K50+'February midyear adj '!K117</f>
        <v>-148076.42844114528</v>
      </c>
      <c r="K51" s="269">
        <f t="shared" si="4"/>
        <v>62096.566765641561</v>
      </c>
      <c r="L51" s="270"/>
      <c r="M51" s="270">
        <f>-'Table 5C1 - Type 2s'!K44</f>
        <v>-3184.4393213149524</v>
      </c>
      <c r="N51" s="271">
        <f t="shared" si="5"/>
        <v>30053079</v>
      </c>
      <c r="O51" s="272">
        <f>-'[1]FY2011-12 EduJobs Program'!$C49</f>
        <v>-19220</v>
      </c>
      <c r="P51" s="273">
        <f t="shared" si="6"/>
        <v>30033859</v>
      </c>
      <c r="Q51" s="273">
        <f>[2]MFP!$EG52</f>
        <v>19992268</v>
      </c>
      <c r="R51" s="273">
        <f t="shared" si="7"/>
        <v>10041591</v>
      </c>
      <c r="S51" s="268">
        <f t="shared" si="8"/>
        <v>2510398</v>
      </c>
      <c r="T51" s="268">
        <f>'Table 4A Stipends'!G48</f>
        <v>0</v>
      </c>
      <c r="U51" s="268">
        <f t="shared" si="9"/>
        <v>30033859</v>
      </c>
    </row>
    <row r="52" spans="1:21">
      <c r="A52" s="257">
        <v>46</v>
      </c>
      <c r="B52" s="258" t="s">
        <v>78</v>
      </c>
      <c r="C52" s="259">
        <f>'Table 3 Levels 1&amp;2'!AO53</f>
        <v>7202778.6240079999</v>
      </c>
      <c r="D52" s="260">
        <v>0</v>
      </c>
      <c r="E52" s="260">
        <v>-28915.960357348573</v>
      </c>
      <c r="F52" s="260">
        <f t="shared" si="2"/>
        <v>-28915.960357348573</v>
      </c>
      <c r="G52" s="259">
        <f t="shared" si="1"/>
        <v>0</v>
      </c>
      <c r="H52" s="260">
        <f t="shared" si="3"/>
        <v>-28915.960357348573</v>
      </c>
      <c r="I52" s="260">
        <f>'October midyear adj'!K51+'October midyear adj'!K134</f>
        <v>-26120.684039920219</v>
      </c>
      <c r="J52" s="260">
        <f>'February midyear adj '!K51+'February midyear adj '!K138</f>
        <v>-9795.2565149700822</v>
      </c>
      <c r="K52" s="260">
        <f t="shared" si="4"/>
        <v>-35915.940554890301</v>
      </c>
      <c r="L52" s="261">
        <f>-'Table 5B2_RSD_LA'!L35</f>
        <v>-2220257.8458602796</v>
      </c>
      <c r="M52" s="261"/>
      <c r="N52" s="262">
        <f t="shared" si="5"/>
        <v>4917689</v>
      </c>
      <c r="O52" s="263">
        <f>-'[1]FY2011-12 EduJobs Program'!$C50</f>
        <v>-3093</v>
      </c>
      <c r="P52" s="264">
        <f t="shared" si="6"/>
        <v>4914596</v>
      </c>
      <c r="Q52" s="264">
        <f>[2]MFP!$EG53</f>
        <v>3240837</v>
      </c>
      <c r="R52" s="264">
        <f t="shared" si="7"/>
        <v>1673759</v>
      </c>
      <c r="S52" s="259">
        <f t="shared" si="8"/>
        <v>418440</v>
      </c>
      <c r="T52" s="259">
        <f>'Table 4A Stipends'!G49</f>
        <v>0</v>
      </c>
      <c r="U52" s="259">
        <f t="shared" si="9"/>
        <v>4914596</v>
      </c>
    </row>
    <row r="53" spans="1:21">
      <c r="A53" s="257">
        <v>47</v>
      </c>
      <c r="B53" s="258" t="s">
        <v>221</v>
      </c>
      <c r="C53" s="259">
        <f>'Table 3 Levels 1&amp;2'!AO54</f>
        <v>16176221.6815584</v>
      </c>
      <c r="D53" s="260">
        <v>0</v>
      </c>
      <c r="E53" s="260">
        <v>-30253.545730082809</v>
      </c>
      <c r="F53" s="260">
        <f t="shared" si="2"/>
        <v>-30253.545730082809</v>
      </c>
      <c r="G53" s="259">
        <f t="shared" si="1"/>
        <v>0</v>
      </c>
      <c r="H53" s="260">
        <f t="shared" si="3"/>
        <v>-30253.545730082809</v>
      </c>
      <c r="I53" s="260">
        <f>'October midyear adj'!K52</f>
        <v>-248128.26829085813</v>
      </c>
      <c r="J53" s="260">
        <f>'February midyear adj '!K52</f>
        <v>-50060.9664095591</v>
      </c>
      <c r="K53" s="260">
        <f t="shared" si="4"/>
        <v>-298189.23470041726</v>
      </c>
      <c r="L53" s="261"/>
      <c r="M53" s="261"/>
      <c r="N53" s="262">
        <f t="shared" si="5"/>
        <v>15847779</v>
      </c>
      <c r="O53" s="263">
        <f>-'[1]FY2011-12 EduJobs Program'!$C51</f>
        <v>-11131</v>
      </c>
      <c r="P53" s="264">
        <f t="shared" si="6"/>
        <v>15836648</v>
      </c>
      <c r="Q53" s="264">
        <f>[2]MFP!$EG54</f>
        <v>10761751</v>
      </c>
      <c r="R53" s="264">
        <f t="shared" si="7"/>
        <v>5074897</v>
      </c>
      <c r="S53" s="259">
        <f t="shared" si="8"/>
        <v>1268724</v>
      </c>
      <c r="T53" s="259">
        <f>'Table 4A Stipends'!G50</f>
        <v>0</v>
      </c>
      <c r="U53" s="259">
        <f t="shared" si="9"/>
        <v>15836648</v>
      </c>
    </row>
    <row r="54" spans="1:21">
      <c r="A54" s="257">
        <v>48</v>
      </c>
      <c r="B54" s="258" t="s">
        <v>222</v>
      </c>
      <c r="C54" s="259">
        <f>'Table 3 Levels 1&amp;2'!AO55</f>
        <v>26147247.5905516</v>
      </c>
      <c r="D54" s="260">
        <v>0</v>
      </c>
      <c r="E54" s="260">
        <v>-104212.71489462088</v>
      </c>
      <c r="F54" s="260">
        <f t="shared" si="2"/>
        <v>-104212.71489462088</v>
      </c>
      <c r="G54" s="259">
        <f t="shared" si="1"/>
        <v>0</v>
      </c>
      <c r="H54" s="260">
        <f t="shared" si="3"/>
        <v>-104212.71489462088</v>
      </c>
      <c r="I54" s="260">
        <f>'October midyear adj'!K53+'October midyear adj'!K117</f>
        <v>502748.34352129709</v>
      </c>
      <c r="J54" s="260">
        <f>'February midyear adj '!K53+'February midyear adj '!K118</f>
        <v>119186.02971410062</v>
      </c>
      <c r="K54" s="260">
        <f t="shared" si="4"/>
        <v>621934.37323539774</v>
      </c>
      <c r="L54" s="261"/>
      <c r="M54" s="261">
        <f>-'Table 5C1 - Type 2s'!K45</f>
        <v>-8668.0748882982261</v>
      </c>
      <c r="N54" s="262">
        <f t="shared" si="5"/>
        <v>26656301</v>
      </c>
      <c r="O54" s="263">
        <f>-'[1]FY2011-12 EduJobs Program'!$C52</f>
        <v>-17594</v>
      </c>
      <c r="P54" s="264">
        <f t="shared" si="6"/>
        <v>26638707</v>
      </c>
      <c r="Q54" s="264">
        <f>[2]MFP!$EG55</f>
        <v>17358505</v>
      </c>
      <c r="R54" s="264">
        <f t="shared" si="7"/>
        <v>9280202</v>
      </c>
      <c r="S54" s="259">
        <f t="shared" si="8"/>
        <v>2320051</v>
      </c>
      <c r="T54" s="259">
        <f>'Table 4A Stipends'!G51</f>
        <v>0</v>
      </c>
      <c r="U54" s="259">
        <f t="shared" si="9"/>
        <v>26638707</v>
      </c>
    </row>
    <row r="55" spans="1:21">
      <c r="A55" s="257">
        <v>49</v>
      </c>
      <c r="B55" s="258" t="s">
        <v>223</v>
      </c>
      <c r="C55" s="259">
        <f>'Table 3 Levels 1&amp;2'!AO56</f>
        <v>75952628.938519999</v>
      </c>
      <c r="D55" s="260">
        <v>0</v>
      </c>
      <c r="E55" s="260">
        <v>-195783.63806666702</v>
      </c>
      <c r="F55" s="260">
        <f t="shared" si="2"/>
        <v>-195783.63806666702</v>
      </c>
      <c r="G55" s="259">
        <f t="shared" si="1"/>
        <v>0</v>
      </c>
      <c r="H55" s="260">
        <f t="shared" si="3"/>
        <v>-195783.63806666702</v>
      </c>
      <c r="I55" s="260">
        <f>'October midyear adj'!K54</f>
        <v>2509795.8672136562</v>
      </c>
      <c r="J55" s="260">
        <f>'February midyear adj '!K54</f>
        <v>-54442.426620686681</v>
      </c>
      <c r="K55" s="260">
        <f t="shared" si="4"/>
        <v>2455353.4405929693</v>
      </c>
      <c r="L55" s="261"/>
      <c r="M55" s="261"/>
      <c r="N55" s="262">
        <f t="shared" si="5"/>
        <v>78212199</v>
      </c>
      <c r="O55" s="263">
        <f>-'[1]FY2011-12 EduJobs Program'!$C53</f>
        <v>-49510</v>
      </c>
      <c r="P55" s="264">
        <f t="shared" si="6"/>
        <v>78162689</v>
      </c>
      <c r="Q55" s="264">
        <f>[2]MFP!$EG56</f>
        <v>50494659</v>
      </c>
      <c r="R55" s="264">
        <f t="shared" si="7"/>
        <v>27668030</v>
      </c>
      <c r="S55" s="259">
        <f t="shared" si="8"/>
        <v>6917008</v>
      </c>
      <c r="T55" s="259">
        <f>'Table 4A Stipends'!G52</f>
        <v>0</v>
      </c>
      <c r="U55" s="259">
        <f t="shared" si="9"/>
        <v>78162689</v>
      </c>
    </row>
    <row r="56" spans="1:21">
      <c r="A56" s="266">
        <v>50</v>
      </c>
      <c r="B56" s="267" t="s">
        <v>224</v>
      </c>
      <c r="C56" s="268">
        <f>'Table 3 Levels 1&amp;2'!AO57</f>
        <v>46239418.187183999</v>
      </c>
      <c r="D56" s="269">
        <v>0</v>
      </c>
      <c r="E56" s="269">
        <v>-138640.96471307467</v>
      </c>
      <c r="F56" s="269">
        <f t="shared" si="2"/>
        <v>-138640.96471307467</v>
      </c>
      <c r="G56" s="268">
        <f t="shared" si="1"/>
        <v>0</v>
      </c>
      <c r="H56" s="269">
        <f t="shared" si="3"/>
        <v>-138640.96471307467</v>
      </c>
      <c r="I56" s="269">
        <f>'October midyear adj'!K55</f>
        <v>-34204.969730378987</v>
      </c>
      <c r="J56" s="269">
        <f>'February midyear adj '!K55</f>
        <v>-407609.22262034967</v>
      </c>
      <c r="K56" s="269">
        <f t="shared" si="4"/>
        <v>-441814.19235072867</v>
      </c>
      <c r="L56" s="270"/>
      <c r="M56" s="270"/>
      <c r="N56" s="271">
        <f t="shared" si="5"/>
        <v>45658963</v>
      </c>
      <c r="O56" s="272">
        <f>-'[1]FY2011-12 EduJobs Program'!$C54</f>
        <v>-30649</v>
      </c>
      <c r="P56" s="273">
        <f t="shared" si="6"/>
        <v>45628314</v>
      </c>
      <c r="Q56" s="273">
        <f>[2]MFP!$EG57</f>
        <v>30727719</v>
      </c>
      <c r="R56" s="273">
        <f t="shared" si="7"/>
        <v>14900595</v>
      </c>
      <c r="S56" s="268">
        <f t="shared" si="8"/>
        <v>3725149</v>
      </c>
      <c r="T56" s="268">
        <f>'Table 4A Stipends'!G53</f>
        <v>28000</v>
      </c>
      <c r="U56" s="268">
        <f t="shared" si="9"/>
        <v>45656314</v>
      </c>
    </row>
    <row r="57" spans="1:21">
      <c r="A57" s="257">
        <v>51</v>
      </c>
      <c r="B57" s="258" t="s">
        <v>225</v>
      </c>
      <c r="C57" s="259">
        <f>'Table 3 Levels 1&amp;2'!AO58</f>
        <v>47159921.692704</v>
      </c>
      <c r="D57" s="260">
        <v>0</v>
      </c>
      <c r="E57" s="260">
        <v>-30276.839103838807</v>
      </c>
      <c r="F57" s="260">
        <f t="shared" si="2"/>
        <v>-30276.839103838807</v>
      </c>
      <c r="G57" s="259">
        <f t="shared" si="1"/>
        <v>0</v>
      </c>
      <c r="H57" s="260">
        <f t="shared" si="3"/>
        <v>-30276.839103838807</v>
      </c>
      <c r="I57" s="260">
        <f>'October midyear adj'!K56</f>
        <v>603202.20237581583</v>
      </c>
      <c r="J57" s="260">
        <f>'February midyear adj '!K56</f>
        <v>-178338.04244154555</v>
      </c>
      <c r="K57" s="260">
        <f t="shared" si="4"/>
        <v>424864.15993427031</v>
      </c>
      <c r="L57" s="261"/>
      <c r="M57" s="261"/>
      <c r="N57" s="262">
        <f t="shared" si="5"/>
        <v>47554509</v>
      </c>
      <c r="O57" s="263">
        <f>-'[1]FY2011-12 EduJobs Program'!$C55</f>
        <v>-31351</v>
      </c>
      <c r="P57" s="264">
        <f t="shared" si="6"/>
        <v>47523158</v>
      </c>
      <c r="Q57" s="264">
        <f>[2]MFP!$EG58</f>
        <v>31413491</v>
      </c>
      <c r="R57" s="264">
        <f t="shared" si="7"/>
        <v>16109667</v>
      </c>
      <c r="S57" s="259">
        <f t="shared" si="8"/>
        <v>4027417</v>
      </c>
      <c r="T57" s="259">
        <f>'Table 4A Stipends'!G54</f>
        <v>0</v>
      </c>
      <c r="U57" s="259">
        <f t="shared" si="9"/>
        <v>47523158</v>
      </c>
    </row>
    <row r="58" spans="1:21">
      <c r="A58" s="257">
        <v>52</v>
      </c>
      <c r="B58" s="258" t="s">
        <v>226</v>
      </c>
      <c r="C58" s="259">
        <f>'Table 3 Levels 1&amp;2'!AO59</f>
        <v>204208906.02739519</v>
      </c>
      <c r="D58" s="260">
        <v>0</v>
      </c>
      <c r="E58" s="260">
        <v>-188772.64338355002</v>
      </c>
      <c r="F58" s="260">
        <f t="shared" si="2"/>
        <v>-188772.64338355002</v>
      </c>
      <c r="G58" s="259">
        <f t="shared" si="1"/>
        <v>0</v>
      </c>
      <c r="H58" s="260">
        <f t="shared" si="3"/>
        <v>-188772.64338355002</v>
      </c>
      <c r="I58" s="260">
        <f>'October midyear adj'!K57+'October midyear adj'!K118</f>
        <v>2415871.8480790854</v>
      </c>
      <c r="J58" s="260">
        <f>'February midyear adj '!K57+'February midyear adj '!K119</f>
        <v>-601145.6818234172</v>
      </c>
      <c r="K58" s="260">
        <f t="shared" si="4"/>
        <v>1814726.1662556683</v>
      </c>
      <c r="L58" s="261"/>
      <c r="M58" s="261">
        <f>-'Table 5C1 - Type 2s'!K46</f>
        <v>-5644.5603927081429</v>
      </c>
      <c r="N58" s="262">
        <f t="shared" si="5"/>
        <v>205829215</v>
      </c>
      <c r="O58" s="263">
        <f>-'[1]FY2011-12 EduJobs Program'!$C56</f>
        <v>-133225</v>
      </c>
      <c r="P58" s="264">
        <f t="shared" si="6"/>
        <v>205695990</v>
      </c>
      <c r="Q58" s="264">
        <f>[2]MFP!$EG59</f>
        <v>135983012</v>
      </c>
      <c r="R58" s="264">
        <f t="shared" si="7"/>
        <v>69712978</v>
      </c>
      <c r="S58" s="259">
        <f t="shared" si="8"/>
        <v>17428245</v>
      </c>
      <c r="T58" s="259">
        <f>'Table 4A Stipends'!G55</f>
        <v>0</v>
      </c>
      <c r="U58" s="259">
        <f t="shared" si="9"/>
        <v>205695990</v>
      </c>
    </row>
    <row r="59" spans="1:21">
      <c r="A59" s="257">
        <v>53</v>
      </c>
      <c r="B59" s="258" t="s">
        <v>227</v>
      </c>
      <c r="C59" s="259">
        <f>'Table 3 Levels 1&amp;2'!AO60</f>
        <v>101336583.63023999</v>
      </c>
      <c r="D59" s="260">
        <v>0</v>
      </c>
      <c r="E59" s="260">
        <v>-59088.706835148245</v>
      </c>
      <c r="F59" s="260">
        <f t="shared" si="2"/>
        <v>-59088.706835148245</v>
      </c>
      <c r="G59" s="259">
        <f t="shared" si="1"/>
        <v>0</v>
      </c>
      <c r="H59" s="260">
        <f t="shared" si="3"/>
        <v>-59088.706835148245</v>
      </c>
      <c r="I59" s="260">
        <f>'October midyear adj'!K58</f>
        <v>1532685.2597654962</v>
      </c>
      <c r="J59" s="260">
        <f>'February midyear adj '!K58</f>
        <v>16305.162337930811</v>
      </c>
      <c r="K59" s="260">
        <f t="shared" si="4"/>
        <v>1548990.4221034271</v>
      </c>
      <c r="L59" s="261"/>
      <c r="M59" s="261"/>
      <c r="N59" s="262">
        <f t="shared" si="5"/>
        <v>102826485</v>
      </c>
      <c r="O59" s="263">
        <f>-'[1]FY2011-12 EduJobs Program'!$C57</f>
        <v>-66713</v>
      </c>
      <c r="P59" s="264">
        <f t="shared" si="6"/>
        <v>102759772</v>
      </c>
      <c r="Q59" s="264">
        <f>[2]MFP!$EG60</f>
        <v>67504986</v>
      </c>
      <c r="R59" s="264">
        <f t="shared" si="7"/>
        <v>35254786</v>
      </c>
      <c r="S59" s="259">
        <f t="shared" si="8"/>
        <v>8813697</v>
      </c>
      <c r="T59" s="259">
        <f>'Table 4A Stipends'!G56</f>
        <v>22000</v>
      </c>
      <c r="U59" s="259">
        <f t="shared" si="9"/>
        <v>102781772</v>
      </c>
    </row>
    <row r="60" spans="1:21">
      <c r="A60" s="257">
        <v>54</v>
      </c>
      <c r="B60" s="258" t="s">
        <v>228</v>
      </c>
      <c r="C60" s="259">
        <f>'Table 3 Levels 1&amp;2'!AO61</f>
        <v>4458876.84736</v>
      </c>
      <c r="D60" s="260">
        <v>22759.964128765361</v>
      </c>
      <c r="E60" s="260">
        <v>-26991.96427809908</v>
      </c>
      <c r="F60" s="260">
        <f t="shared" si="2"/>
        <v>-4232.0001493337186</v>
      </c>
      <c r="G60" s="259">
        <f t="shared" si="1"/>
        <v>0</v>
      </c>
      <c r="H60" s="260">
        <f t="shared" si="3"/>
        <v>-4232.0001493337186</v>
      </c>
      <c r="I60" s="260">
        <f>'October midyear adj'!K59</f>
        <v>217989.52253759999</v>
      </c>
      <c r="J60" s="260">
        <f>'February midyear adj '!K59</f>
        <v>-36331.587089599998</v>
      </c>
      <c r="K60" s="260">
        <f t="shared" si="4"/>
        <v>181657.93544799997</v>
      </c>
      <c r="L60" s="261"/>
      <c r="M60" s="261"/>
      <c r="N60" s="262">
        <f t="shared" si="5"/>
        <v>4636303</v>
      </c>
      <c r="O60" s="263">
        <f>-'[1]FY2011-12 EduJobs Program'!$C58</f>
        <v>-2853</v>
      </c>
      <c r="P60" s="264">
        <f t="shared" si="6"/>
        <v>4633450</v>
      </c>
      <c r="Q60" s="264">
        <f>[2]MFP!$EG61</f>
        <v>2969190</v>
      </c>
      <c r="R60" s="264">
        <f t="shared" si="7"/>
        <v>1664260</v>
      </c>
      <c r="S60" s="259">
        <f t="shared" si="8"/>
        <v>416065</v>
      </c>
      <c r="T60" s="259">
        <f>'Table 4A Stipends'!G57</f>
        <v>0</v>
      </c>
      <c r="U60" s="259">
        <f t="shared" si="9"/>
        <v>4633450</v>
      </c>
    </row>
    <row r="61" spans="1:21">
      <c r="A61" s="266">
        <v>55</v>
      </c>
      <c r="B61" s="267" t="s">
        <v>229</v>
      </c>
      <c r="C61" s="268">
        <f>'Table 3 Levels 1&amp;2'!AO62</f>
        <v>85757621.992515996</v>
      </c>
      <c r="D61" s="269">
        <v>0</v>
      </c>
      <c r="E61" s="269">
        <v>-114822.77377254574</v>
      </c>
      <c r="F61" s="269">
        <f t="shared" si="2"/>
        <v>-114822.77377254574</v>
      </c>
      <c r="G61" s="268">
        <f t="shared" si="1"/>
        <v>0</v>
      </c>
      <c r="H61" s="269">
        <f t="shared" si="3"/>
        <v>-114822.77377254574</v>
      </c>
      <c r="I61" s="269">
        <f>'October midyear adj'!K60</f>
        <v>603104.87673502625</v>
      </c>
      <c r="J61" s="269">
        <f>'February midyear adj '!K60</f>
        <v>-260210.57181712828</v>
      </c>
      <c r="K61" s="269">
        <f t="shared" si="4"/>
        <v>342894.30491789797</v>
      </c>
      <c r="L61" s="270"/>
      <c r="M61" s="270"/>
      <c r="N61" s="271">
        <f t="shared" si="5"/>
        <v>85985694</v>
      </c>
      <c r="O61" s="272">
        <f>-'[1]FY2011-12 EduJobs Program'!$C59</f>
        <v>-55036</v>
      </c>
      <c r="P61" s="273">
        <f t="shared" si="6"/>
        <v>85930658</v>
      </c>
      <c r="Q61" s="273">
        <f>[2]MFP!$EG62</f>
        <v>57084193</v>
      </c>
      <c r="R61" s="273">
        <f t="shared" si="7"/>
        <v>28846465</v>
      </c>
      <c r="S61" s="268">
        <f t="shared" si="8"/>
        <v>7211616</v>
      </c>
      <c r="T61" s="268">
        <f>'Table 4A Stipends'!G58</f>
        <v>0</v>
      </c>
      <c r="U61" s="268">
        <f t="shared" si="9"/>
        <v>85930658</v>
      </c>
    </row>
    <row r="62" spans="1:21">
      <c r="A62" s="257">
        <v>56</v>
      </c>
      <c r="B62" s="258" t="s">
        <v>230</v>
      </c>
      <c r="C62" s="259">
        <f>'Table 3 Levels 1&amp;2'!AO63</f>
        <v>16120097.720015999</v>
      </c>
      <c r="D62" s="260">
        <v>0</v>
      </c>
      <c r="E62" s="260">
        <v>-19432.379039389834</v>
      </c>
      <c r="F62" s="260">
        <f t="shared" si="2"/>
        <v>-19432.379039389834</v>
      </c>
      <c r="G62" s="259">
        <f t="shared" si="1"/>
        <v>0</v>
      </c>
      <c r="H62" s="260">
        <f t="shared" si="3"/>
        <v>-19432.379039389834</v>
      </c>
      <c r="I62" s="260">
        <f>'October midyear adj'!K61+'October midyear adj'!K107</f>
        <v>245715.77310907055</v>
      </c>
      <c r="J62" s="260">
        <f>'February midyear adj '!K61+'February midyear adj '!K108</f>
        <v>-85714.804572931578</v>
      </c>
      <c r="K62" s="260">
        <f t="shared" si="4"/>
        <v>160000.96853613897</v>
      </c>
      <c r="L62" s="261"/>
      <c r="M62" s="261">
        <f>-'Table 5C1 - Type 2s'!K24-'Table 5C1 - Type 2s'!K27</f>
        <v>-2060012.469902789</v>
      </c>
      <c r="N62" s="262">
        <f t="shared" si="5"/>
        <v>14200654</v>
      </c>
      <c r="O62" s="263">
        <f>-'[1]FY2011-12 EduJobs Program'!$C60</f>
        <v>-9631</v>
      </c>
      <c r="P62" s="264">
        <f t="shared" si="6"/>
        <v>14191023</v>
      </c>
      <c r="Q62" s="264">
        <f>[2]MFP!$EG63</f>
        <v>9615651</v>
      </c>
      <c r="R62" s="264">
        <f t="shared" si="7"/>
        <v>4575372</v>
      </c>
      <c r="S62" s="259">
        <f t="shared" si="8"/>
        <v>1143843</v>
      </c>
      <c r="T62" s="259">
        <f>'Table 4A Stipends'!G59</f>
        <v>6000</v>
      </c>
      <c r="U62" s="259">
        <f t="shared" si="9"/>
        <v>14197023</v>
      </c>
    </row>
    <row r="63" spans="1:21">
      <c r="A63" s="257">
        <v>57</v>
      </c>
      <c r="B63" s="258" t="s">
        <v>231</v>
      </c>
      <c r="C63" s="259">
        <f>'Table 3 Levels 1&amp;2'!AO64</f>
        <v>46409234.407424003</v>
      </c>
      <c r="D63" s="260">
        <v>0</v>
      </c>
      <c r="E63" s="260">
        <v>-42092.592126608928</v>
      </c>
      <c r="F63" s="260">
        <f t="shared" si="2"/>
        <v>-42092.592126608928</v>
      </c>
      <c r="G63" s="259">
        <f t="shared" si="1"/>
        <v>0</v>
      </c>
      <c r="H63" s="260">
        <f t="shared" si="3"/>
        <v>-42092.592126608928</v>
      </c>
      <c r="I63" s="260">
        <f>'October midyear adj'!K62</f>
        <v>433582.91483978217</v>
      </c>
      <c r="J63" s="260">
        <f>'February midyear adj '!K62</f>
        <v>-15862.789567309104</v>
      </c>
      <c r="K63" s="260">
        <f t="shared" si="4"/>
        <v>417720.12527247309</v>
      </c>
      <c r="L63" s="261"/>
      <c r="M63" s="261"/>
      <c r="N63" s="262">
        <f t="shared" si="5"/>
        <v>46784862</v>
      </c>
      <c r="O63" s="263">
        <f>-'[1]FY2011-12 EduJobs Program'!$C61</f>
        <v>-26855</v>
      </c>
      <c r="P63" s="264">
        <f t="shared" si="6"/>
        <v>46758007</v>
      </c>
      <c r="Q63" s="264">
        <f>[2]MFP!$EG64</f>
        <v>30906060</v>
      </c>
      <c r="R63" s="264">
        <f t="shared" si="7"/>
        <v>15851947</v>
      </c>
      <c r="S63" s="259">
        <f t="shared" si="8"/>
        <v>3962987</v>
      </c>
      <c r="T63" s="259">
        <f>'Table 4A Stipends'!G60</f>
        <v>0</v>
      </c>
      <c r="U63" s="259">
        <f t="shared" si="9"/>
        <v>46758007</v>
      </c>
    </row>
    <row r="64" spans="1:21">
      <c r="A64" s="257">
        <v>58</v>
      </c>
      <c r="B64" s="258" t="s">
        <v>232</v>
      </c>
      <c r="C64" s="259">
        <f>'Table 3 Levels 1&amp;2'!AO65</f>
        <v>55429259.002664</v>
      </c>
      <c r="D64" s="260">
        <v>0</v>
      </c>
      <c r="E64" s="260">
        <v>-130423.91161530207</v>
      </c>
      <c r="F64" s="260">
        <f t="shared" si="2"/>
        <v>-130423.91161530207</v>
      </c>
      <c r="G64" s="259">
        <f t="shared" si="1"/>
        <v>0</v>
      </c>
      <c r="H64" s="260">
        <f t="shared" si="3"/>
        <v>-130423.91161530207</v>
      </c>
      <c r="I64" s="260">
        <f>'October midyear adj'!K63</f>
        <v>1375861.1577609237</v>
      </c>
      <c r="J64" s="260">
        <f>'February midyear adj '!K63</f>
        <v>-173478.14597855124</v>
      </c>
      <c r="K64" s="260">
        <f t="shared" si="4"/>
        <v>1202383.0117823724</v>
      </c>
      <c r="L64" s="261"/>
      <c r="M64" s="261"/>
      <c r="N64" s="262">
        <f t="shared" si="5"/>
        <v>56501218</v>
      </c>
      <c r="O64" s="263">
        <f>-'[1]FY2011-12 EduJobs Program'!$C62</f>
        <v>-36341</v>
      </c>
      <c r="P64" s="264">
        <f t="shared" si="6"/>
        <v>56464877</v>
      </c>
      <c r="Q64" s="264">
        <f>[2]MFP!$EG65</f>
        <v>36858620</v>
      </c>
      <c r="R64" s="264">
        <f t="shared" si="7"/>
        <v>19606257</v>
      </c>
      <c r="S64" s="259">
        <f t="shared" si="8"/>
        <v>4901564</v>
      </c>
      <c r="T64" s="259">
        <f>'Table 4A Stipends'!G61</f>
        <v>0</v>
      </c>
      <c r="U64" s="259">
        <f t="shared" si="9"/>
        <v>56464877</v>
      </c>
    </row>
    <row r="65" spans="1:21">
      <c r="A65" s="257">
        <v>59</v>
      </c>
      <c r="B65" s="258" t="s">
        <v>233</v>
      </c>
      <c r="C65" s="259">
        <f>'Table 3 Levels 1&amp;2'!AO66</f>
        <v>35205756.989887998</v>
      </c>
      <c r="D65" s="260">
        <v>0</v>
      </c>
      <c r="E65" s="260">
        <v>-14013.403955921021</v>
      </c>
      <c r="F65" s="260">
        <f t="shared" si="2"/>
        <v>-14013.403955921021</v>
      </c>
      <c r="G65" s="259">
        <f t="shared" si="1"/>
        <v>0</v>
      </c>
      <c r="H65" s="260">
        <f t="shared" si="3"/>
        <v>-14013.403955921021</v>
      </c>
      <c r="I65" s="260">
        <f>'October midyear adj'!K64</f>
        <v>469226.08350301522</v>
      </c>
      <c r="J65" s="260">
        <f>'February midyear adj '!K64</f>
        <v>-34501.917904633476</v>
      </c>
      <c r="K65" s="260">
        <f t="shared" si="4"/>
        <v>434724.16559838178</v>
      </c>
      <c r="L65" s="261"/>
      <c r="M65" s="261"/>
      <c r="N65" s="262">
        <f t="shared" si="5"/>
        <v>35626468</v>
      </c>
      <c r="O65" s="263">
        <f>-'[1]FY2011-12 EduJobs Program'!$C63</f>
        <v>-22908</v>
      </c>
      <c r="P65" s="264">
        <f t="shared" si="6"/>
        <v>35603560</v>
      </c>
      <c r="Q65" s="264">
        <f>[2]MFP!$EG66</f>
        <v>23456579</v>
      </c>
      <c r="R65" s="264">
        <f t="shared" si="7"/>
        <v>12146981</v>
      </c>
      <c r="S65" s="259">
        <f t="shared" si="8"/>
        <v>3036745</v>
      </c>
      <c r="T65" s="259">
        <f>'Table 4A Stipends'!G62</f>
        <v>0</v>
      </c>
      <c r="U65" s="259">
        <f t="shared" si="9"/>
        <v>35603560</v>
      </c>
    </row>
    <row r="66" spans="1:21">
      <c r="A66" s="266">
        <v>60</v>
      </c>
      <c r="B66" s="267" t="s">
        <v>234</v>
      </c>
      <c r="C66" s="268">
        <f>'Table 3 Levels 1&amp;2'!AO67</f>
        <v>37040608.441300005</v>
      </c>
      <c r="D66" s="269">
        <v>0</v>
      </c>
      <c r="E66" s="269">
        <v>-35268.391975502564</v>
      </c>
      <c r="F66" s="269">
        <f t="shared" si="2"/>
        <v>-35268.391975502564</v>
      </c>
      <c r="G66" s="268">
        <f t="shared" si="1"/>
        <v>0</v>
      </c>
      <c r="H66" s="269">
        <f t="shared" si="3"/>
        <v>-35268.391975502564</v>
      </c>
      <c r="I66" s="269">
        <f>'October midyear adj'!K65</f>
        <v>-1217245.2736843571</v>
      </c>
      <c r="J66" s="269">
        <f>'February midyear adj '!K65</f>
        <v>-190022.45222674351</v>
      </c>
      <c r="K66" s="269">
        <f t="shared" si="4"/>
        <v>-1407267.7259111006</v>
      </c>
      <c r="L66" s="270"/>
      <c r="M66" s="270"/>
      <c r="N66" s="271">
        <f t="shared" si="5"/>
        <v>35598072</v>
      </c>
      <c r="O66" s="272">
        <f>-'[1]FY2011-12 EduJobs Program'!$C64</f>
        <v>-24248</v>
      </c>
      <c r="P66" s="273">
        <f t="shared" si="6"/>
        <v>35573824</v>
      </c>
      <c r="Q66" s="273">
        <f>[2]MFP!$EG67</f>
        <v>24665375</v>
      </c>
      <c r="R66" s="273">
        <f t="shared" si="7"/>
        <v>10908449</v>
      </c>
      <c r="S66" s="268">
        <f t="shared" si="8"/>
        <v>2727112</v>
      </c>
      <c r="T66" s="268">
        <f>'Table 4A Stipends'!G63</f>
        <v>0</v>
      </c>
      <c r="U66" s="268">
        <f t="shared" si="9"/>
        <v>35573824</v>
      </c>
    </row>
    <row r="67" spans="1:21">
      <c r="A67" s="257">
        <v>61</v>
      </c>
      <c r="B67" s="258" t="s">
        <v>235</v>
      </c>
      <c r="C67" s="259">
        <f>'Table 3 Levels 1&amp;2'!AO68</f>
        <v>13038735.540937599</v>
      </c>
      <c r="D67" s="260">
        <v>0</v>
      </c>
      <c r="E67" s="260">
        <v>-14382.329509654906</v>
      </c>
      <c r="F67" s="260">
        <f t="shared" si="2"/>
        <v>-14382.329509654906</v>
      </c>
      <c r="G67" s="259">
        <f t="shared" si="1"/>
        <v>0</v>
      </c>
      <c r="H67" s="260">
        <f t="shared" si="3"/>
        <v>-14382.329509654906</v>
      </c>
      <c r="I67" s="260">
        <f>'October midyear adj'!K66</f>
        <v>390786.30116931134</v>
      </c>
      <c r="J67" s="260">
        <f>'February midyear adj '!K66</f>
        <v>-99575.355586411053</v>
      </c>
      <c r="K67" s="260">
        <f t="shared" si="4"/>
        <v>291210.94558290031</v>
      </c>
      <c r="L67" s="261"/>
      <c r="M67" s="261"/>
      <c r="N67" s="262">
        <f t="shared" si="5"/>
        <v>13315564</v>
      </c>
      <c r="O67" s="263">
        <f>-'[1]FY2011-12 EduJobs Program'!$C65</f>
        <v>-8104</v>
      </c>
      <c r="P67" s="264">
        <f t="shared" si="6"/>
        <v>13307460</v>
      </c>
      <c r="Q67" s="264">
        <f>[2]MFP!$EG68</f>
        <v>8681283</v>
      </c>
      <c r="R67" s="264">
        <f t="shared" si="7"/>
        <v>4626177</v>
      </c>
      <c r="S67" s="259">
        <f t="shared" si="8"/>
        <v>1156544</v>
      </c>
      <c r="T67" s="259">
        <f>'Table 4A Stipends'!G64</f>
        <v>0</v>
      </c>
      <c r="U67" s="259">
        <f t="shared" si="9"/>
        <v>13307460</v>
      </c>
    </row>
    <row r="68" spans="1:21">
      <c r="A68" s="257">
        <v>62</v>
      </c>
      <c r="B68" s="258" t="s">
        <v>236</v>
      </c>
      <c r="C68" s="259">
        <f>'Table 3 Levels 1&amp;2'!AO69</f>
        <v>12771903.096592</v>
      </c>
      <c r="D68" s="260">
        <v>0</v>
      </c>
      <c r="E68" s="260">
        <v>-11451.604972624356</v>
      </c>
      <c r="F68" s="260">
        <f t="shared" si="2"/>
        <v>-11451.604972624356</v>
      </c>
      <c r="G68" s="259">
        <f t="shared" si="1"/>
        <v>0</v>
      </c>
      <c r="H68" s="260">
        <f t="shared" si="3"/>
        <v>-11451.604972624356</v>
      </c>
      <c r="I68" s="260">
        <f>'October midyear adj'!K67</f>
        <v>-186582.93522825261</v>
      </c>
      <c r="J68" s="260">
        <f>'February midyear adj '!K67</f>
        <v>18056.413086605091</v>
      </c>
      <c r="K68" s="260">
        <f t="shared" si="4"/>
        <v>-168526.52214164753</v>
      </c>
      <c r="L68" s="261"/>
      <c r="M68" s="261"/>
      <c r="N68" s="262">
        <f t="shared" si="5"/>
        <v>12591925</v>
      </c>
      <c r="O68" s="263">
        <f>-'[1]FY2011-12 EduJobs Program'!$C66</f>
        <v>-8336</v>
      </c>
      <c r="P68" s="264">
        <f t="shared" si="6"/>
        <v>12583589</v>
      </c>
      <c r="Q68" s="264">
        <f>[2]MFP!$EG69</f>
        <v>8505301</v>
      </c>
      <c r="R68" s="264">
        <f t="shared" si="7"/>
        <v>4078288</v>
      </c>
      <c r="S68" s="259">
        <f t="shared" si="8"/>
        <v>1019572</v>
      </c>
      <c r="T68" s="259">
        <f>'Table 4A Stipends'!G65</f>
        <v>0</v>
      </c>
      <c r="U68" s="259">
        <f t="shared" si="9"/>
        <v>12583589</v>
      </c>
    </row>
    <row r="69" spans="1:21">
      <c r="A69" s="257">
        <v>63</v>
      </c>
      <c r="B69" s="258" t="s">
        <v>237</v>
      </c>
      <c r="C69" s="259">
        <f>'Table 3 Levels 1&amp;2'!AO70</f>
        <v>10357500.767376</v>
      </c>
      <c r="D69" s="260">
        <v>0</v>
      </c>
      <c r="E69" s="260">
        <v>-5325.9414776049744</v>
      </c>
      <c r="F69" s="260">
        <f t="shared" si="2"/>
        <v>-5325.9414776049744</v>
      </c>
      <c r="G69" s="259">
        <f t="shared" si="1"/>
        <v>0</v>
      </c>
      <c r="H69" s="260">
        <f t="shared" si="3"/>
        <v>-5325.9414776049744</v>
      </c>
      <c r="I69" s="260">
        <f>'October midyear adj'!K68</f>
        <v>-180130.45334566955</v>
      </c>
      <c r="J69" s="260">
        <f>'February midyear adj '!K68</f>
        <v>-15010.87111213913</v>
      </c>
      <c r="K69" s="260">
        <f t="shared" si="4"/>
        <v>-195141.32445780869</v>
      </c>
      <c r="L69" s="261"/>
      <c r="M69" s="261"/>
      <c r="N69" s="262">
        <f t="shared" si="5"/>
        <v>10157034</v>
      </c>
      <c r="O69" s="263">
        <f>-'[1]FY2011-12 EduJobs Program'!$C67</f>
        <v>-7193</v>
      </c>
      <c r="P69" s="264">
        <f t="shared" si="6"/>
        <v>10149841</v>
      </c>
      <c r="Q69" s="264">
        <f>[2]MFP!$EG70</f>
        <v>6900010</v>
      </c>
      <c r="R69" s="264">
        <f t="shared" si="7"/>
        <v>3249831</v>
      </c>
      <c r="S69" s="259">
        <f t="shared" si="8"/>
        <v>812458</v>
      </c>
      <c r="T69" s="259">
        <f>'Table 4A Stipends'!G66</f>
        <v>0</v>
      </c>
      <c r="U69" s="259">
        <f t="shared" si="9"/>
        <v>10149841</v>
      </c>
    </row>
    <row r="70" spans="1:21">
      <c r="A70" s="257">
        <v>64</v>
      </c>
      <c r="B70" s="258" t="s">
        <v>238</v>
      </c>
      <c r="C70" s="259">
        <f>'Table 3 Levels 1&amp;2'!AO71</f>
        <v>15666186.93534</v>
      </c>
      <c r="D70" s="260">
        <v>0</v>
      </c>
      <c r="E70" s="260">
        <v>-14019.022906821629</v>
      </c>
      <c r="F70" s="260">
        <f t="shared" si="2"/>
        <v>-14019.022906821629</v>
      </c>
      <c r="G70" s="259">
        <f t="shared" si="1"/>
        <v>0</v>
      </c>
      <c r="H70" s="260">
        <f t="shared" si="3"/>
        <v>-14019.022906821629</v>
      </c>
      <c r="I70" s="260">
        <f>'October midyear adj'!K69</f>
        <v>-38697.868444643886</v>
      </c>
      <c r="J70" s="260">
        <f>'February midyear adj '!K69</f>
        <v>-19348.934222321943</v>
      </c>
      <c r="K70" s="260">
        <f t="shared" si="4"/>
        <v>-58046.802666965828</v>
      </c>
      <c r="L70" s="261"/>
      <c r="M70" s="261"/>
      <c r="N70" s="262">
        <f t="shared" si="5"/>
        <v>15594121</v>
      </c>
      <c r="O70" s="263">
        <f>-'[1]FY2011-12 EduJobs Program'!$C68</f>
        <v>-10013</v>
      </c>
      <c r="P70" s="264">
        <f t="shared" si="6"/>
        <v>15584108</v>
      </c>
      <c r="Q70" s="264">
        <f>[2]MFP!$EG71</f>
        <v>10432774</v>
      </c>
      <c r="R70" s="264">
        <f t="shared" si="7"/>
        <v>5151334</v>
      </c>
      <c r="S70" s="259">
        <f t="shared" si="8"/>
        <v>1287834</v>
      </c>
      <c r="T70" s="259">
        <f>'Table 4A Stipends'!G67</f>
        <v>0</v>
      </c>
      <c r="U70" s="259">
        <f t="shared" si="9"/>
        <v>15584108</v>
      </c>
    </row>
    <row r="71" spans="1:21">
      <c r="A71" s="266">
        <v>65</v>
      </c>
      <c r="B71" s="267" t="s">
        <v>239</v>
      </c>
      <c r="C71" s="268">
        <f>'Table 3 Levels 1&amp;2'!AO72</f>
        <v>45032755.463472001</v>
      </c>
      <c r="D71" s="269">
        <v>-131189.93817841049</v>
      </c>
      <c r="E71" s="269">
        <v>-112234.72914002683</v>
      </c>
      <c r="F71" s="269">
        <f t="shared" si="2"/>
        <v>-243424.66731843731</v>
      </c>
      <c r="G71" s="268">
        <f>IF(F71&gt;0,F71,0)</f>
        <v>0</v>
      </c>
      <c r="H71" s="269">
        <f t="shared" si="3"/>
        <v>-243424.66731843731</v>
      </c>
      <c r="I71" s="269">
        <f>'October midyear adj'!K70</f>
        <v>144130.44169674537</v>
      </c>
      <c r="J71" s="269">
        <f>'February midyear adj '!K70</f>
        <v>-173490.34648682314</v>
      </c>
      <c r="K71" s="269">
        <f t="shared" si="4"/>
        <v>-29359.904790077766</v>
      </c>
      <c r="L71" s="270"/>
      <c r="M71" s="270"/>
      <c r="N71" s="271">
        <f t="shared" si="5"/>
        <v>44759971</v>
      </c>
      <c r="O71" s="272">
        <f>-'[1]FY2011-12 EduJobs Program'!$C69</f>
        <v>-28538</v>
      </c>
      <c r="P71" s="273">
        <f t="shared" si="6"/>
        <v>44731433</v>
      </c>
      <c r="Q71" s="273">
        <f>[2]MFP!$EG72</f>
        <v>29853845</v>
      </c>
      <c r="R71" s="273">
        <f t="shared" si="7"/>
        <v>14877588</v>
      </c>
      <c r="S71" s="268">
        <f t="shared" si="8"/>
        <v>3719397</v>
      </c>
      <c r="T71" s="268">
        <f>'Table 4A Stipends'!G68</f>
        <v>0</v>
      </c>
      <c r="U71" s="268">
        <f t="shared" si="9"/>
        <v>44731433</v>
      </c>
    </row>
    <row r="72" spans="1:21">
      <c r="A72" s="279">
        <v>66</v>
      </c>
      <c r="B72" s="280" t="s">
        <v>240</v>
      </c>
      <c r="C72" s="281">
        <f>'Table 3 Levels 1&amp;2'!AO73</f>
        <v>14238146.418719999</v>
      </c>
      <c r="D72" s="282">
        <v>0</v>
      </c>
      <c r="E72" s="282">
        <v>-25497.635145442109</v>
      </c>
      <c r="F72" s="282">
        <f>SUM(D72:E72)</f>
        <v>-25497.635145442109</v>
      </c>
      <c r="G72" s="281">
        <f>IF(F72&gt;0,F72,0)</f>
        <v>0</v>
      </c>
      <c r="H72" s="282">
        <f>IF(F72&lt;0,F72,0)</f>
        <v>-25497.635145442109</v>
      </c>
      <c r="I72" s="282">
        <f>'October midyear adj'!K71</f>
        <v>27579.94444304116</v>
      </c>
      <c r="J72" s="282">
        <f>'February midyear adj '!K71</f>
        <v>-58607.381941462467</v>
      </c>
      <c r="K72" s="282">
        <f t="shared" ref="K72:K75" si="10">I72+J72</f>
        <v>-31027.437498421306</v>
      </c>
      <c r="L72" s="283"/>
      <c r="M72" s="283"/>
      <c r="N72" s="284">
        <f t="shared" ref="N72:N75" si="11">ROUND(C72+F72+I72+J72+L72+M72,0)</f>
        <v>14181621</v>
      </c>
      <c r="O72" s="285">
        <f>-'[1]FY2011-12 EduJobs Program'!$C70</f>
        <v>-9359</v>
      </c>
      <c r="P72" s="286">
        <f t="shared" ref="P72:P75" si="12">N72+O72</f>
        <v>14172262</v>
      </c>
      <c r="Q72" s="286">
        <f>[2]MFP!$EG73</f>
        <v>9473225</v>
      </c>
      <c r="R72" s="286">
        <f t="shared" ref="R72:R75" si="13">P72-Q72</f>
        <v>4699037</v>
      </c>
      <c r="S72" s="281">
        <f t="shared" ref="S72:S75" si="14">ROUND(R72/4,0)</f>
        <v>1174759</v>
      </c>
      <c r="T72" s="281">
        <f>'Table 4A Stipends'!G69</f>
        <v>0</v>
      </c>
      <c r="U72" s="281">
        <f t="shared" ref="U72:U75" si="15">P72+T72</f>
        <v>14172262</v>
      </c>
    </row>
    <row r="73" spans="1:21">
      <c r="A73" s="287">
        <v>67</v>
      </c>
      <c r="B73" s="288" t="s">
        <v>241</v>
      </c>
      <c r="C73" s="259">
        <f>'Table 3 Levels 1&amp;2'!AO74</f>
        <v>27824044.385724001</v>
      </c>
      <c r="D73" s="260">
        <v>0</v>
      </c>
      <c r="E73" s="260">
        <v>6642.3120699930223</v>
      </c>
      <c r="F73" s="260">
        <f>SUM(D73:E73)</f>
        <v>6642.3120699930223</v>
      </c>
      <c r="G73" s="259">
        <f>IF(F73&gt;0,F73,0)</f>
        <v>6642.3120699930223</v>
      </c>
      <c r="H73" s="260">
        <f>IF(F73&lt;0,F73,0)</f>
        <v>0</v>
      </c>
      <c r="I73" s="260">
        <f>'October midyear adj'!K72+'October midyear adj'!K102</f>
        <v>1131244.5028692714</v>
      </c>
      <c r="J73" s="260">
        <f>'February midyear adj '!K72+'February midyear adj '!K103</f>
        <v>-25710.102337937984</v>
      </c>
      <c r="K73" s="260">
        <f t="shared" si="10"/>
        <v>1105534.4005313334</v>
      </c>
      <c r="L73" s="261"/>
      <c r="M73" s="261">
        <f>-'Table 5C1 - Type 2s'!K8</f>
        <v>-11426.71215019466</v>
      </c>
      <c r="N73" s="262">
        <f t="shared" si="11"/>
        <v>28924794</v>
      </c>
      <c r="O73" s="263">
        <f>-'[1]FY2011-12 EduJobs Program'!$C71</f>
        <v>-18099</v>
      </c>
      <c r="P73" s="264">
        <f t="shared" si="12"/>
        <v>28906695</v>
      </c>
      <c r="Q73" s="264">
        <f>[2]MFP!$EG74</f>
        <v>18542555</v>
      </c>
      <c r="R73" s="264">
        <f t="shared" si="13"/>
        <v>10364140</v>
      </c>
      <c r="S73" s="259">
        <f t="shared" si="14"/>
        <v>2591035</v>
      </c>
      <c r="T73" s="259">
        <f>'Table 4A Stipends'!G70</f>
        <v>0</v>
      </c>
      <c r="U73" s="259">
        <f t="shared" si="15"/>
        <v>28906695</v>
      </c>
    </row>
    <row r="74" spans="1:21">
      <c r="A74" s="257">
        <v>68</v>
      </c>
      <c r="B74" s="258" t="s">
        <v>242</v>
      </c>
      <c r="C74" s="259">
        <f>'Table 3 Levels 1&amp;2'!AO75</f>
        <v>12000034.771544</v>
      </c>
      <c r="D74" s="260">
        <v>0</v>
      </c>
      <c r="E74" s="260">
        <v>29189.530573421973</v>
      </c>
      <c r="F74" s="260">
        <f>SUM(D74:E74)</f>
        <v>29189.530573421973</v>
      </c>
      <c r="G74" s="259">
        <f>IF(F74&gt;0,F74,0)</f>
        <v>29189.530573421973</v>
      </c>
      <c r="H74" s="260">
        <f>IF(F74&lt;0,F74,0)</f>
        <v>0</v>
      </c>
      <c r="I74" s="260">
        <f>'October midyear adj'!K73+'October midyear adj'!K103</f>
        <v>-445924.75673513475</v>
      </c>
      <c r="J74" s="260">
        <f>'February midyear adj '!K73+'February midyear adj '!K104</f>
        <v>83194.917301331108</v>
      </c>
      <c r="K74" s="260">
        <f t="shared" si="10"/>
        <v>-362729.83943380363</v>
      </c>
      <c r="L74" s="261"/>
      <c r="M74" s="261">
        <f>-'Table 5C1 - Type 2s'!K9</f>
        <v>-16638.983460266227</v>
      </c>
      <c r="N74" s="262">
        <f t="shared" si="11"/>
        <v>11649855</v>
      </c>
      <c r="O74" s="263">
        <f>-'[1]FY2011-12 EduJobs Program'!$C72</f>
        <v>-7916</v>
      </c>
      <c r="P74" s="264">
        <f t="shared" si="12"/>
        <v>11641939</v>
      </c>
      <c r="Q74" s="264">
        <f>[2]MFP!$EG75</f>
        <v>7995713</v>
      </c>
      <c r="R74" s="264">
        <f t="shared" si="13"/>
        <v>3646226</v>
      </c>
      <c r="S74" s="259">
        <f t="shared" si="14"/>
        <v>911557</v>
      </c>
      <c r="T74" s="259">
        <f>'Table 4A Stipends'!G71</f>
        <v>0</v>
      </c>
      <c r="U74" s="259">
        <f t="shared" si="15"/>
        <v>11641939</v>
      </c>
    </row>
    <row r="75" spans="1:21">
      <c r="A75" s="266">
        <v>69</v>
      </c>
      <c r="B75" s="267" t="s">
        <v>243</v>
      </c>
      <c r="C75" s="268">
        <f>'Table 3 Levels 1&amp;2'!AO76</f>
        <v>24120286.459590398</v>
      </c>
      <c r="D75" s="269">
        <v>0</v>
      </c>
      <c r="E75" s="269">
        <v>-32591.636882638395</v>
      </c>
      <c r="F75" s="269">
        <f>SUM(D75:E75)</f>
        <v>-32591.636882638395</v>
      </c>
      <c r="G75" s="268">
        <f>IF(F75&gt;0,F75,0)</f>
        <v>0</v>
      </c>
      <c r="H75" s="269">
        <f>IF(F75&lt;0,F75,0)</f>
        <v>-32591.636882638395</v>
      </c>
      <c r="I75" s="269">
        <f>'October midyear adj'!K74+'October midyear adj'!K104</f>
        <v>390536.6345577474</v>
      </c>
      <c r="J75" s="269">
        <f>'February midyear adj '!K74+'February midyear adj '!K105</f>
        <v>-77487.427491616545</v>
      </c>
      <c r="K75" s="269">
        <f t="shared" si="10"/>
        <v>313049.20706613082</v>
      </c>
      <c r="L75" s="270"/>
      <c r="M75" s="261">
        <f>-'Table 5C1 - Type 2s'!K10</f>
        <v>-6198.9941993293232</v>
      </c>
      <c r="N75" s="271">
        <f t="shared" si="11"/>
        <v>24394545</v>
      </c>
      <c r="O75" s="272">
        <f>-'[1]FY2011-12 EduJobs Program'!$C73</f>
        <v>-15546</v>
      </c>
      <c r="P75" s="273">
        <f t="shared" si="12"/>
        <v>24378999</v>
      </c>
      <c r="Q75" s="273">
        <f>[2]MFP!$EG76</f>
        <v>16047090</v>
      </c>
      <c r="R75" s="273">
        <f t="shared" si="13"/>
        <v>8331909</v>
      </c>
      <c r="S75" s="268">
        <f t="shared" si="14"/>
        <v>2082977</v>
      </c>
      <c r="T75" s="268">
        <f>'Table 4A Stipends'!G72</f>
        <v>0</v>
      </c>
      <c r="U75" s="268">
        <f t="shared" si="15"/>
        <v>24378999</v>
      </c>
    </row>
    <row r="76" spans="1:21" ht="13.5" thickBot="1">
      <c r="A76" s="289"/>
      <c r="B76" s="290" t="s">
        <v>244</v>
      </c>
      <c r="C76" s="291">
        <f t="shared" ref="C76:S76" si="16">SUM(C7:C75)</f>
        <v>3331014473.5427814</v>
      </c>
      <c r="D76" s="291">
        <f t="shared" si="16"/>
        <v>-69404.799664690741</v>
      </c>
      <c r="E76" s="291">
        <f>SUM(E7:E75)</f>
        <v>-4763136.6186841931</v>
      </c>
      <c r="F76" s="291">
        <f>SUM(F7:F75)</f>
        <v>-4832541.4183488842</v>
      </c>
      <c r="G76" s="291">
        <f t="shared" si="16"/>
        <v>131760.05713557298</v>
      </c>
      <c r="H76" s="291">
        <f t="shared" si="16"/>
        <v>-4964301.4754844578</v>
      </c>
      <c r="I76" s="291">
        <f>SUM(I7:I75)</f>
        <v>40677730.934665449</v>
      </c>
      <c r="J76" s="291">
        <f t="shared" ref="J76:K76" si="17">SUM(J7:J75)</f>
        <v>-7059190.3791223029</v>
      </c>
      <c r="K76" s="291">
        <f t="shared" si="17"/>
        <v>33618540.555543147</v>
      </c>
      <c r="L76" s="291">
        <f t="shared" si="16"/>
        <v>-130139953.89638306</v>
      </c>
      <c r="M76" s="291">
        <f t="shared" si="16"/>
        <v>-4129891.467962096</v>
      </c>
      <c r="N76" s="292">
        <f>SUM(N7:N75)</f>
        <v>3225530626</v>
      </c>
      <c r="O76" s="293">
        <f>SUM(O7:O75)</f>
        <v>-2084581</v>
      </c>
      <c r="P76" s="294">
        <f>SUM(P7:P75)</f>
        <v>3223446045</v>
      </c>
      <c r="Q76" s="294">
        <f>SUM(Q7:Q75)</f>
        <v>2132033441</v>
      </c>
      <c r="R76" s="294">
        <f>SUM(R7:R75)</f>
        <v>1091412604</v>
      </c>
      <c r="S76" s="291">
        <f t="shared" si="16"/>
        <v>272853161</v>
      </c>
      <c r="T76" s="291">
        <f>SUM(T7:T75)</f>
        <v>584000</v>
      </c>
      <c r="U76" s="291">
        <f>SUM(U7:U75)</f>
        <v>3224030045</v>
      </c>
    </row>
    <row r="77" spans="1:21" ht="13.5" thickTop="1">
      <c r="F77" s="251">
        <f>SUM(D76:E76)</f>
        <v>-4832541.4183488842</v>
      </c>
      <c r="L77" t="s">
        <v>245</v>
      </c>
      <c r="N77" s="295"/>
      <c r="O77" s="295"/>
      <c r="P77" s="295"/>
      <c r="Q77" s="295"/>
      <c r="R77" s="295"/>
      <c r="U77" s="295"/>
    </row>
    <row r="78" spans="1:21" hidden="1">
      <c r="L78" s="1478"/>
      <c r="M78" s="1478"/>
      <c r="N78" s="1478"/>
      <c r="O78" s="1628" t="s">
        <v>246</v>
      </c>
      <c r="P78" s="1478"/>
      <c r="Q78" s="1478"/>
      <c r="R78" s="1478"/>
      <c r="S78" s="1481">
        <f>R76/4</f>
        <v>272853151</v>
      </c>
    </row>
    <row r="79" spans="1:21" ht="12.75" hidden="1" customHeight="1">
      <c r="L79" s="1629" t="s">
        <v>247</v>
      </c>
      <c r="M79" s="1629" t="s">
        <v>247</v>
      </c>
      <c r="N79" s="1481"/>
      <c r="O79" s="1628"/>
      <c r="P79" s="1481"/>
      <c r="Q79" s="1481"/>
      <c r="R79" s="1481"/>
      <c r="S79" s="1478"/>
      <c r="U79" s="251"/>
    </row>
    <row r="80" spans="1:21" hidden="1">
      <c r="L80" s="1629"/>
      <c r="M80" s="1629"/>
      <c r="N80" s="1478"/>
      <c r="O80" s="1628"/>
      <c r="P80" s="1478"/>
      <c r="Q80" s="1478"/>
      <c r="R80" s="1478"/>
      <c r="S80" s="1478"/>
    </row>
    <row r="81" spans="12:19" hidden="1">
      <c r="L81" s="1629"/>
      <c r="M81" s="1629"/>
      <c r="N81" s="1478"/>
      <c r="O81" s="1478"/>
      <c r="P81" s="1478"/>
      <c r="Q81" s="1478"/>
      <c r="R81" s="1478"/>
      <c r="S81" s="1478"/>
    </row>
    <row r="82" spans="12:19" hidden="1">
      <c r="L82" s="1629"/>
      <c r="M82" s="1629"/>
      <c r="N82" s="1478"/>
      <c r="O82" s="1478"/>
      <c r="P82" s="1478"/>
      <c r="Q82" s="1478"/>
      <c r="R82" s="1478"/>
      <c r="S82" s="1478"/>
    </row>
    <row r="83" spans="12:19" hidden="1">
      <c r="L83" s="1629"/>
      <c r="M83" s="1629"/>
      <c r="N83" s="1478"/>
      <c r="O83" s="1478"/>
      <c r="P83" s="1478"/>
      <c r="Q83" s="1478"/>
      <c r="R83" s="1478"/>
      <c r="S83" s="1478"/>
    </row>
    <row r="84" spans="12:19" hidden="1">
      <c r="L84" s="1629"/>
      <c r="M84" s="1629"/>
      <c r="N84" s="1478"/>
      <c r="O84" s="1478"/>
      <c r="P84" s="1478"/>
      <c r="Q84" s="1478"/>
      <c r="R84" s="1478"/>
      <c r="S84" s="1478"/>
    </row>
    <row r="85" spans="12:19" hidden="1">
      <c r="L85" s="1629"/>
      <c r="M85" s="1629"/>
      <c r="N85" s="1478"/>
      <c r="O85" s="1478"/>
      <c r="P85" s="1478"/>
      <c r="Q85" s="1478"/>
      <c r="R85" s="1478"/>
      <c r="S85" s="1478"/>
    </row>
    <row r="86" spans="12:19" hidden="1"/>
  </sheetData>
  <mergeCells count="28">
    <mergeCell ref="D1:H1"/>
    <mergeCell ref="I1:K1"/>
    <mergeCell ref="A2:A5"/>
    <mergeCell ref="B2:B5"/>
    <mergeCell ref="C2:C5"/>
    <mergeCell ref="D2:D5"/>
    <mergeCell ref="E2:E5"/>
    <mergeCell ref="F2:F5"/>
    <mergeCell ref="G2:H3"/>
    <mergeCell ref="I2:I5"/>
    <mergeCell ref="G4:G5"/>
    <mergeCell ref="H4:H5"/>
    <mergeCell ref="J2:J5"/>
    <mergeCell ref="K2:K5"/>
    <mergeCell ref="V42:AA44"/>
    <mergeCell ref="O78:O80"/>
    <mergeCell ref="L79:L85"/>
    <mergeCell ref="M79:M85"/>
    <mergeCell ref="P2:P5"/>
    <mergeCell ref="Q2:Q5"/>
    <mergeCell ref="R2:R5"/>
    <mergeCell ref="S2:S5"/>
    <mergeCell ref="T2:T5"/>
    <mergeCell ref="U2:U5"/>
    <mergeCell ref="L2:L5"/>
    <mergeCell ref="M2:M5"/>
    <mergeCell ref="N2:N5"/>
    <mergeCell ref="O2:O5"/>
  </mergeCells>
  <printOptions horizontalCentered="1"/>
  <pageMargins left="0.25" right="0.2" top="1.1399999999999999" bottom="0.49" header="0.5" footer="0.25"/>
  <pageSetup paperSize="5" scale="83" firstPageNumber="2" fitToWidth="12" orientation="portrait" useFirstPageNumber="1" r:id="rId1"/>
  <headerFooter alignWithMargins="0">
    <oddHeader>&amp;L&amp;"Arial,Bold"&amp;18Table 2:  FY2011-12 Budget Letter &amp;"Arial,Regular"&amp;10
&amp;"Arial,Bold"&amp;18Distribution and Adjustments (March 2012)</oddHeader>
    <oddFooter>&amp;R&amp;12&amp;P</oddFooter>
  </headerFooter>
  <colBreaks count="2" manualBreakCount="2">
    <brk id="8" max="76" man="1"/>
    <brk id="14" max="76" man="1"/>
  </colBreaks>
</worksheet>
</file>

<file path=xl/worksheets/sheet20.xml><?xml version="1.0" encoding="utf-8"?>
<worksheet xmlns="http://schemas.openxmlformats.org/spreadsheetml/2006/main" xmlns:r="http://schemas.openxmlformats.org/officeDocument/2006/relationships">
  <dimension ref="A1:M76"/>
  <sheetViews>
    <sheetView view="pageBreakPreview" zoomScale="60" zoomScaleNormal="100" workbookViewId="0"/>
  </sheetViews>
  <sheetFormatPr defaultRowHeight="12.75"/>
  <cols>
    <col min="1" max="1" width="5.5703125" style="1181" customWidth="1"/>
    <col min="2" max="2" width="61.28515625" style="1181" customWidth="1"/>
    <col min="3" max="3" width="12.42578125" style="1181" customWidth="1"/>
    <col min="4" max="5" width="12.5703125" style="1181" customWidth="1"/>
    <col min="6" max="6" width="11.7109375" style="1181" customWidth="1"/>
    <col min="7" max="7" width="11.85546875" style="1181" customWidth="1"/>
    <col min="8" max="8" width="13.140625" style="1465" customWidth="1"/>
    <col min="9" max="9" width="11.5703125" style="1466" customWidth="1"/>
    <col min="10" max="10" width="15.42578125" style="1181" customWidth="1"/>
    <col min="11" max="11" width="16.85546875" style="1465" customWidth="1"/>
    <col min="12" max="12" width="15.7109375" style="1181" customWidth="1"/>
    <col min="13" max="13" width="16.7109375" style="1181" customWidth="1"/>
    <col min="14" max="256" width="9.140625" style="1181"/>
    <col min="257" max="257" width="4.42578125" style="1181" customWidth="1"/>
    <col min="258" max="258" width="46.85546875" style="1181" customWidth="1"/>
    <col min="259" max="259" width="11.28515625" style="1181" bestFit="1" customWidth="1"/>
    <col min="260" max="260" width="11.42578125" style="1181" bestFit="1" customWidth="1"/>
    <col min="261" max="261" width="11.85546875" style="1181" customWidth="1"/>
    <col min="262" max="262" width="10" style="1181" customWidth="1"/>
    <col min="263" max="263" width="11.140625" style="1181" customWidth="1"/>
    <col min="264" max="264" width="10.28515625" style="1181" bestFit="1" customWidth="1"/>
    <col min="265" max="265" width="10.140625" style="1181" bestFit="1" customWidth="1"/>
    <col min="266" max="266" width="12" style="1181" bestFit="1" customWidth="1"/>
    <col min="267" max="267" width="14.28515625" style="1181" bestFit="1" customWidth="1"/>
    <col min="268" max="268" width="13.5703125" style="1181" bestFit="1" customWidth="1"/>
    <col min="269" max="269" width="13.85546875" style="1181" bestFit="1" customWidth="1"/>
    <col min="270" max="512" width="9.140625" style="1181"/>
    <col min="513" max="513" width="4.42578125" style="1181" customWidth="1"/>
    <col min="514" max="514" width="46.85546875" style="1181" customWidth="1"/>
    <col min="515" max="515" width="11.28515625" style="1181" bestFit="1" customWidth="1"/>
    <col min="516" max="516" width="11.42578125" style="1181" bestFit="1" customWidth="1"/>
    <col min="517" max="517" width="11.85546875" style="1181" customWidth="1"/>
    <col min="518" max="518" width="10" style="1181" customWidth="1"/>
    <col min="519" max="519" width="11.140625" style="1181" customWidth="1"/>
    <col min="520" max="520" width="10.28515625" style="1181" bestFit="1" customWidth="1"/>
    <col min="521" max="521" width="10.140625" style="1181" bestFit="1" customWidth="1"/>
    <col min="522" max="522" width="12" style="1181" bestFit="1" customWidth="1"/>
    <col min="523" max="523" width="14.28515625" style="1181" bestFit="1" customWidth="1"/>
    <col min="524" max="524" width="13.5703125" style="1181" bestFit="1" customWidth="1"/>
    <col min="525" max="525" width="13.85546875" style="1181" bestFit="1" customWidth="1"/>
    <col min="526" max="768" width="9.140625" style="1181"/>
    <col min="769" max="769" width="4.42578125" style="1181" customWidth="1"/>
    <col min="770" max="770" width="46.85546875" style="1181" customWidth="1"/>
    <col min="771" max="771" width="11.28515625" style="1181" bestFit="1" customWidth="1"/>
    <col min="772" max="772" width="11.42578125" style="1181" bestFit="1" customWidth="1"/>
    <col min="773" max="773" width="11.85546875" style="1181" customWidth="1"/>
    <col min="774" max="774" width="10" style="1181" customWidth="1"/>
    <col min="775" max="775" width="11.140625" style="1181" customWidth="1"/>
    <col min="776" max="776" width="10.28515625" style="1181" bestFit="1" customWidth="1"/>
    <col min="777" max="777" width="10.140625" style="1181" bestFit="1" customWidth="1"/>
    <col min="778" max="778" width="12" style="1181" bestFit="1" customWidth="1"/>
    <col min="779" max="779" width="14.28515625" style="1181" bestFit="1" customWidth="1"/>
    <col min="780" max="780" width="13.5703125" style="1181" bestFit="1" customWidth="1"/>
    <col min="781" max="781" width="13.85546875" style="1181" bestFit="1" customWidth="1"/>
    <col min="782" max="1024" width="9.140625" style="1181"/>
    <col min="1025" max="1025" width="4.42578125" style="1181" customWidth="1"/>
    <col min="1026" max="1026" width="46.85546875" style="1181" customWidth="1"/>
    <col min="1027" max="1027" width="11.28515625" style="1181" bestFit="1" customWidth="1"/>
    <col min="1028" max="1028" width="11.42578125" style="1181" bestFit="1" customWidth="1"/>
    <col min="1029" max="1029" width="11.85546875" style="1181" customWidth="1"/>
    <col min="1030" max="1030" width="10" style="1181" customWidth="1"/>
    <col min="1031" max="1031" width="11.140625" style="1181" customWidth="1"/>
    <col min="1032" max="1032" width="10.28515625" style="1181" bestFit="1" customWidth="1"/>
    <col min="1033" max="1033" width="10.140625" style="1181" bestFit="1" customWidth="1"/>
    <col min="1034" max="1034" width="12" style="1181" bestFit="1" customWidth="1"/>
    <col min="1035" max="1035" width="14.28515625" style="1181" bestFit="1" customWidth="1"/>
    <col min="1036" max="1036" width="13.5703125" style="1181" bestFit="1" customWidth="1"/>
    <col min="1037" max="1037" width="13.85546875" style="1181" bestFit="1" customWidth="1"/>
    <col min="1038" max="1280" width="9.140625" style="1181"/>
    <col min="1281" max="1281" width="4.42578125" style="1181" customWidth="1"/>
    <col min="1282" max="1282" width="46.85546875" style="1181" customWidth="1"/>
    <col min="1283" max="1283" width="11.28515625" style="1181" bestFit="1" customWidth="1"/>
    <col min="1284" max="1284" width="11.42578125" style="1181" bestFit="1" customWidth="1"/>
    <col min="1285" max="1285" width="11.85546875" style="1181" customWidth="1"/>
    <col min="1286" max="1286" width="10" style="1181" customWidth="1"/>
    <col min="1287" max="1287" width="11.140625" style="1181" customWidth="1"/>
    <col min="1288" max="1288" width="10.28515625" style="1181" bestFit="1" customWidth="1"/>
    <col min="1289" max="1289" width="10.140625" style="1181" bestFit="1" customWidth="1"/>
    <col min="1290" max="1290" width="12" style="1181" bestFit="1" customWidth="1"/>
    <col min="1291" max="1291" width="14.28515625" style="1181" bestFit="1" customWidth="1"/>
    <col min="1292" max="1292" width="13.5703125" style="1181" bestFit="1" customWidth="1"/>
    <col min="1293" max="1293" width="13.85546875" style="1181" bestFit="1" customWidth="1"/>
    <col min="1294" max="1536" width="9.140625" style="1181"/>
    <col min="1537" max="1537" width="4.42578125" style="1181" customWidth="1"/>
    <col min="1538" max="1538" width="46.85546875" style="1181" customWidth="1"/>
    <col min="1539" max="1539" width="11.28515625" style="1181" bestFit="1" customWidth="1"/>
    <col min="1540" max="1540" width="11.42578125" style="1181" bestFit="1" customWidth="1"/>
    <col min="1541" max="1541" width="11.85546875" style="1181" customWidth="1"/>
    <col min="1542" max="1542" width="10" style="1181" customWidth="1"/>
    <col min="1543" max="1543" width="11.140625" style="1181" customWidth="1"/>
    <col min="1544" max="1544" width="10.28515625" style="1181" bestFit="1" customWidth="1"/>
    <col min="1545" max="1545" width="10.140625" style="1181" bestFit="1" customWidth="1"/>
    <col min="1546" max="1546" width="12" style="1181" bestFit="1" customWidth="1"/>
    <col min="1547" max="1547" width="14.28515625" style="1181" bestFit="1" customWidth="1"/>
    <col min="1548" max="1548" width="13.5703125" style="1181" bestFit="1" customWidth="1"/>
    <col min="1549" max="1549" width="13.85546875" style="1181" bestFit="1" customWidth="1"/>
    <col min="1550" max="1792" width="9.140625" style="1181"/>
    <col min="1793" max="1793" width="4.42578125" style="1181" customWidth="1"/>
    <col min="1794" max="1794" width="46.85546875" style="1181" customWidth="1"/>
    <col min="1795" max="1795" width="11.28515625" style="1181" bestFit="1" customWidth="1"/>
    <col min="1796" max="1796" width="11.42578125" style="1181" bestFit="1" customWidth="1"/>
    <col min="1797" max="1797" width="11.85546875" style="1181" customWidth="1"/>
    <col min="1798" max="1798" width="10" style="1181" customWidth="1"/>
    <col min="1799" max="1799" width="11.140625" style="1181" customWidth="1"/>
    <col min="1800" max="1800" width="10.28515625" style="1181" bestFit="1" customWidth="1"/>
    <col min="1801" max="1801" width="10.140625" style="1181" bestFit="1" customWidth="1"/>
    <col min="1802" max="1802" width="12" style="1181" bestFit="1" customWidth="1"/>
    <col min="1803" max="1803" width="14.28515625" style="1181" bestFit="1" customWidth="1"/>
    <col min="1804" max="1804" width="13.5703125" style="1181" bestFit="1" customWidth="1"/>
    <col min="1805" max="1805" width="13.85546875" style="1181" bestFit="1" customWidth="1"/>
    <col min="1806" max="2048" width="9.140625" style="1181"/>
    <col min="2049" max="2049" width="4.42578125" style="1181" customWidth="1"/>
    <col min="2050" max="2050" width="46.85546875" style="1181" customWidth="1"/>
    <col min="2051" max="2051" width="11.28515625" style="1181" bestFit="1" customWidth="1"/>
    <col min="2052" max="2052" width="11.42578125" style="1181" bestFit="1" customWidth="1"/>
    <col min="2053" max="2053" width="11.85546875" style="1181" customWidth="1"/>
    <col min="2054" max="2054" width="10" style="1181" customWidth="1"/>
    <col min="2055" max="2055" width="11.140625" style="1181" customWidth="1"/>
    <col min="2056" max="2056" width="10.28515625" style="1181" bestFit="1" customWidth="1"/>
    <col min="2057" max="2057" width="10.140625" style="1181" bestFit="1" customWidth="1"/>
    <col min="2058" max="2058" width="12" style="1181" bestFit="1" customWidth="1"/>
    <col min="2059" max="2059" width="14.28515625" style="1181" bestFit="1" customWidth="1"/>
    <col min="2060" max="2060" width="13.5703125" style="1181" bestFit="1" customWidth="1"/>
    <col min="2061" max="2061" width="13.85546875" style="1181" bestFit="1" customWidth="1"/>
    <col min="2062" max="2304" width="9.140625" style="1181"/>
    <col min="2305" max="2305" width="4.42578125" style="1181" customWidth="1"/>
    <col min="2306" max="2306" width="46.85546875" style="1181" customWidth="1"/>
    <col min="2307" max="2307" width="11.28515625" style="1181" bestFit="1" customWidth="1"/>
    <col min="2308" max="2308" width="11.42578125" style="1181" bestFit="1" customWidth="1"/>
    <col min="2309" max="2309" width="11.85546875" style="1181" customWidth="1"/>
    <col min="2310" max="2310" width="10" style="1181" customWidth="1"/>
    <col min="2311" max="2311" width="11.140625" style="1181" customWidth="1"/>
    <col min="2312" max="2312" width="10.28515625" style="1181" bestFit="1" customWidth="1"/>
    <col min="2313" max="2313" width="10.140625" style="1181" bestFit="1" customWidth="1"/>
    <col min="2314" max="2314" width="12" style="1181" bestFit="1" customWidth="1"/>
    <col min="2315" max="2315" width="14.28515625" style="1181" bestFit="1" customWidth="1"/>
    <col min="2316" max="2316" width="13.5703125" style="1181" bestFit="1" customWidth="1"/>
    <col min="2317" max="2317" width="13.85546875" style="1181" bestFit="1" customWidth="1"/>
    <col min="2318" max="2560" width="9.140625" style="1181"/>
    <col min="2561" max="2561" width="4.42578125" style="1181" customWidth="1"/>
    <col min="2562" max="2562" width="46.85546875" style="1181" customWidth="1"/>
    <col min="2563" max="2563" width="11.28515625" style="1181" bestFit="1" customWidth="1"/>
    <col min="2564" max="2564" width="11.42578125" style="1181" bestFit="1" customWidth="1"/>
    <col min="2565" max="2565" width="11.85546875" style="1181" customWidth="1"/>
    <col min="2566" max="2566" width="10" style="1181" customWidth="1"/>
    <col min="2567" max="2567" width="11.140625" style="1181" customWidth="1"/>
    <col min="2568" max="2568" width="10.28515625" style="1181" bestFit="1" customWidth="1"/>
    <col min="2569" max="2569" width="10.140625" style="1181" bestFit="1" customWidth="1"/>
    <col min="2570" max="2570" width="12" style="1181" bestFit="1" customWidth="1"/>
    <col min="2571" max="2571" width="14.28515625" style="1181" bestFit="1" customWidth="1"/>
    <col min="2572" max="2572" width="13.5703125" style="1181" bestFit="1" customWidth="1"/>
    <col min="2573" max="2573" width="13.85546875" style="1181" bestFit="1" customWidth="1"/>
    <col min="2574" max="2816" width="9.140625" style="1181"/>
    <col min="2817" max="2817" width="4.42578125" style="1181" customWidth="1"/>
    <col min="2818" max="2818" width="46.85546875" style="1181" customWidth="1"/>
    <col min="2819" max="2819" width="11.28515625" style="1181" bestFit="1" customWidth="1"/>
    <col min="2820" max="2820" width="11.42578125" style="1181" bestFit="1" customWidth="1"/>
    <col min="2821" max="2821" width="11.85546875" style="1181" customWidth="1"/>
    <col min="2822" max="2822" width="10" style="1181" customWidth="1"/>
    <col min="2823" max="2823" width="11.140625" style="1181" customWidth="1"/>
    <col min="2824" max="2824" width="10.28515625" style="1181" bestFit="1" customWidth="1"/>
    <col min="2825" max="2825" width="10.140625" style="1181" bestFit="1" customWidth="1"/>
    <col min="2826" max="2826" width="12" style="1181" bestFit="1" customWidth="1"/>
    <col min="2827" max="2827" width="14.28515625" style="1181" bestFit="1" customWidth="1"/>
    <col min="2828" max="2828" width="13.5703125" style="1181" bestFit="1" customWidth="1"/>
    <col min="2829" max="2829" width="13.85546875" style="1181" bestFit="1" customWidth="1"/>
    <col min="2830" max="3072" width="9.140625" style="1181"/>
    <col min="3073" max="3073" width="4.42578125" style="1181" customWidth="1"/>
    <col min="3074" max="3074" width="46.85546875" style="1181" customWidth="1"/>
    <col min="3075" max="3075" width="11.28515625" style="1181" bestFit="1" customWidth="1"/>
    <col min="3076" max="3076" width="11.42578125" style="1181" bestFit="1" customWidth="1"/>
    <col min="3077" max="3077" width="11.85546875" style="1181" customWidth="1"/>
    <col min="3078" max="3078" width="10" style="1181" customWidth="1"/>
    <col min="3079" max="3079" width="11.140625" style="1181" customWidth="1"/>
    <col min="3080" max="3080" width="10.28515625" style="1181" bestFit="1" customWidth="1"/>
    <col min="3081" max="3081" width="10.140625" style="1181" bestFit="1" customWidth="1"/>
    <col min="3082" max="3082" width="12" style="1181" bestFit="1" customWidth="1"/>
    <col min="3083" max="3083" width="14.28515625" style="1181" bestFit="1" customWidth="1"/>
    <col min="3084" max="3084" width="13.5703125" style="1181" bestFit="1" customWidth="1"/>
    <col min="3085" max="3085" width="13.85546875" style="1181" bestFit="1" customWidth="1"/>
    <col min="3086" max="3328" width="9.140625" style="1181"/>
    <col min="3329" max="3329" width="4.42578125" style="1181" customWidth="1"/>
    <col min="3330" max="3330" width="46.85546875" style="1181" customWidth="1"/>
    <col min="3331" max="3331" width="11.28515625" style="1181" bestFit="1" customWidth="1"/>
    <col min="3332" max="3332" width="11.42578125" style="1181" bestFit="1" customWidth="1"/>
    <col min="3333" max="3333" width="11.85546875" style="1181" customWidth="1"/>
    <col min="3334" max="3334" width="10" style="1181" customWidth="1"/>
    <col min="3335" max="3335" width="11.140625" style="1181" customWidth="1"/>
    <col min="3336" max="3336" width="10.28515625" style="1181" bestFit="1" customWidth="1"/>
    <col min="3337" max="3337" width="10.140625" style="1181" bestFit="1" customWidth="1"/>
    <col min="3338" max="3338" width="12" style="1181" bestFit="1" customWidth="1"/>
    <col min="3339" max="3339" width="14.28515625" style="1181" bestFit="1" customWidth="1"/>
    <col min="3340" max="3340" width="13.5703125" style="1181" bestFit="1" customWidth="1"/>
    <col min="3341" max="3341" width="13.85546875" style="1181" bestFit="1" customWidth="1"/>
    <col min="3342" max="3584" width="9.140625" style="1181"/>
    <col min="3585" max="3585" width="4.42578125" style="1181" customWidth="1"/>
    <col min="3586" max="3586" width="46.85546875" style="1181" customWidth="1"/>
    <col min="3587" max="3587" width="11.28515625" style="1181" bestFit="1" customWidth="1"/>
    <col min="3588" max="3588" width="11.42578125" style="1181" bestFit="1" customWidth="1"/>
    <col min="3589" max="3589" width="11.85546875" style="1181" customWidth="1"/>
    <col min="3590" max="3590" width="10" style="1181" customWidth="1"/>
    <col min="3591" max="3591" width="11.140625" style="1181" customWidth="1"/>
    <col min="3592" max="3592" width="10.28515625" style="1181" bestFit="1" customWidth="1"/>
    <col min="3593" max="3593" width="10.140625" style="1181" bestFit="1" customWidth="1"/>
    <col min="3594" max="3594" width="12" style="1181" bestFit="1" customWidth="1"/>
    <col min="3595" max="3595" width="14.28515625" style="1181" bestFit="1" customWidth="1"/>
    <col min="3596" max="3596" width="13.5703125" style="1181" bestFit="1" customWidth="1"/>
    <col min="3597" max="3597" width="13.85546875" style="1181" bestFit="1" customWidth="1"/>
    <col min="3598" max="3840" width="9.140625" style="1181"/>
    <col min="3841" max="3841" width="4.42578125" style="1181" customWidth="1"/>
    <col min="3842" max="3842" width="46.85546875" style="1181" customWidth="1"/>
    <col min="3843" max="3843" width="11.28515625" style="1181" bestFit="1" customWidth="1"/>
    <col min="3844" max="3844" width="11.42578125" style="1181" bestFit="1" customWidth="1"/>
    <col min="3845" max="3845" width="11.85546875" style="1181" customWidth="1"/>
    <col min="3846" max="3846" width="10" style="1181" customWidth="1"/>
    <col min="3847" max="3847" width="11.140625" style="1181" customWidth="1"/>
    <col min="3848" max="3848" width="10.28515625" style="1181" bestFit="1" customWidth="1"/>
    <col min="3849" max="3849" width="10.140625" style="1181" bestFit="1" customWidth="1"/>
    <col min="3850" max="3850" width="12" style="1181" bestFit="1" customWidth="1"/>
    <col min="3851" max="3851" width="14.28515625" style="1181" bestFit="1" customWidth="1"/>
    <col min="3852" max="3852" width="13.5703125" style="1181" bestFit="1" customWidth="1"/>
    <col min="3853" max="3853" width="13.85546875" style="1181" bestFit="1" customWidth="1"/>
    <col min="3854" max="4096" width="9.140625" style="1181"/>
    <col min="4097" max="4097" width="4.42578125" style="1181" customWidth="1"/>
    <col min="4098" max="4098" width="46.85546875" style="1181" customWidth="1"/>
    <col min="4099" max="4099" width="11.28515625" style="1181" bestFit="1" customWidth="1"/>
    <col min="4100" max="4100" width="11.42578125" style="1181" bestFit="1" customWidth="1"/>
    <col min="4101" max="4101" width="11.85546875" style="1181" customWidth="1"/>
    <col min="4102" max="4102" width="10" style="1181" customWidth="1"/>
    <col min="4103" max="4103" width="11.140625" style="1181" customWidth="1"/>
    <col min="4104" max="4104" width="10.28515625" style="1181" bestFit="1" customWidth="1"/>
    <col min="4105" max="4105" width="10.140625" style="1181" bestFit="1" customWidth="1"/>
    <col min="4106" max="4106" width="12" style="1181" bestFit="1" customWidth="1"/>
    <col min="4107" max="4107" width="14.28515625" style="1181" bestFit="1" customWidth="1"/>
    <col min="4108" max="4108" width="13.5703125" style="1181" bestFit="1" customWidth="1"/>
    <col min="4109" max="4109" width="13.85546875" style="1181" bestFit="1" customWidth="1"/>
    <col min="4110" max="4352" width="9.140625" style="1181"/>
    <col min="4353" max="4353" width="4.42578125" style="1181" customWidth="1"/>
    <col min="4354" max="4354" width="46.85546875" style="1181" customWidth="1"/>
    <col min="4355" max="4355" width="11.28515625" style="1181" bestFit="1" customWidth="1"/>
    <col min="4356" max="4356" width="11.42578125" style="1181" bestFit="1" customWidth="1"/>
    <col min="4357" max="4357" width="11.85546875" style="1181" customWidth="1"/>
    <col min="4358" max="4358" width="10" style="1181" customWidth="1"/>
    <col min="4359" max="4359" width="11.140625" style="1181" customWidth="1"/>
    <col min="4360" max="4360" width="10.28515625" style="1181" bestFit="1" customWidth="1"/>
    <col min="4361" max="4361" width="10.140625" style="1181" bestFit="1" customWidth="1"/>
    <col min="4362" max="4362" width="12" style="1181" bestFit="1" customWidth="1"/>
    <col min="4363" max="4363" width="14.28515625" style="1181" bestFit="1" customWidth="1"/>
    <col min="4364" max="4364" width="13.5703125" style="1181" bestFit="1" customWidth="1"/>
    <col min="4365" max="4365" width="13.85546875" style="1181" bestFit="1" customWidth="1"/>
    <col min="4366" max="4608" width="9.140625" style="1181"/>
    <col min="4609" max="4609" width="4.42578125" style="1181" customWidth="1"/>
    <col min="4610" max="4610" width="46.85546875" style="1181" customWidth="1"/>
    <col min="4611" max="4611" width="11.28515625" style="1181" bestFit="1" customWidth="1"/>
    <col min="4612" max="4612" width="11.42578125" style="1181" bestFit="1" customWidth="1"/>
    <col min="4613" max="4613" width="11.85546875" style="1181" customWidth="1"/>
    <col min="4614" max="4614" width="10" style="1181" customWidth="1"/>
    <col min="4615" max="4615" width="11.140625" style="1181" customWidth="1"/>
    <col min="4616" max="4616" width="10.28515625" style="1181" bestFit="1" customWidth="1"/>
    <col min="4617" max="4617" width="10.140625" style="1181" bestFit="1" customWidth="1"/>
    <col min="4618" max="4618" width="12" style="1181" bestFit="1" customWidth="1"/>
    <col min="4619" max="4619" width="14.28515625" style="1181" bestFit="1" customWidth="1"/>
    <col min="4620" max="4620" width="13.5703125" style="1181" bestFit="1" customWidth="1"/>
    <col min="4621" max="4621" width="13.85546875" style="1181" bestFit="1" customWidth="1"/>
    <col min="4622" max="4864" width="9.140625" style="1181"/>
    <col min="4865" max="4865" width="4.42578125" style="1181" customWidth="1"/>
    <col min="4866" max="4866" width="46.85546875" style="1181" customWidth="1"/>
    <col min="4867" max="4867" width="11.28515625" style="1181" bestFit="1" customWidth="1"/>
    <col min="4868" max="4868" width="11.42578125" style="1181" bestFit="1" customWidth="1"/>
    <col min="4869" max="4869" width="11.85546875" style="1181" customWidth="1"/>
    <col min="4870" max="4870" width="10" style="1181" customWidth="1"/>
    <col min="4871" max="4871" width="11.140625" style="1181" customWidth="1"/>
    <col min="4872" max="4872" width="10.28515625" style="1181" bestFit="1" customWidth="1"/>
    <col min="4873" max="4873" width="10.140625" style="1181" bestFit="1" customWidth="1"/>
    <col min="4874" max="4874" width="12" style="1181" bestFit="1" customWidth="1"/>
    <col min="4875" max="4875" width="14.28515625" style="1181" bestFit="1" customWidth="1"/>
    <col min="4876" max="4876" width="13.5703125" style="1181" bestFit="1" customWidth="1"/>
    <col min="4877" max="4877" width="13.85546875" style="1181" bestFit="1" customWidth="1"/>
    <col min="4878" max="5120" width="9.140625" style="1181"/>
    <col min="5121" max="5121" width="4.42578125" style="1181" customWidth="1"/>
    <col min="5122" max="5122" width="46.85546875" style="1181" customWidth="1"/>
    <col min="5123" max="5123" width="11.28515625" style="1181" bestFit="1" customWidth="1"/>
    <col min="5124" max="5124" width="11.42578125" style="1181" bestFit="1" customWidth="1"/>
    <col min="5125" max="5125" width="11.85546875" style="1181" customWidth="1"/>
    <col min="5126" max="5126" width="10" style="1181" customWidth="1"/>
    <col min="5127" max="5127" width="11.140625" style="1181" customWidth="1"/>
    <col min="5128" max="5128" width="10.28515625" style="1181" bestFit="1" customWidth="1"/>
    <col min="5129" max="5129" width="10.140625" style="1181" bestFit="1" customWidth="1"/>
    <col min="5130" max="5130" width="12" style="1181" bestFit="1" customWidth="1"/>
    <col min="5131" max="5131" width="14.28515625" style="1181" bestFit="1" customWidth="1"/>
    <col min="5132" max="5132" width="13.5703125" style="1181" bestFit="1" customWidth="1"/>
    <col min="5133" max="5133" width="13.85546875" style="1181" bestFit="1" customWidth="1"/>
    <col min="5134" max="5376" width="9.140625" style="1181"/>
    <col min="5377" max="5377" width="4.42578125" style="1181" customWidth="1"/>
    <col min="5378" max="5378" width="46.85546875" style="1181" customWidth="1"/>
    <col min="5379" max="5379" width="11.28515625" style="1181" bestFit="1" customWidth="1"/>
    <col min="5380" max="5380" width="11.42578125" style="1181" bestFit="1" customWidth="1"/>
    <col min="5381" max="5381" width="11.85546875" style="1181" customWidth="1"/>
    <col min="5382" max="5382" width="10" style="1181" customWidth="1"/>
    <col min="5383" max="5383" width="11.140625" style="1181" customWidth="1"/>
    <col min="5384" max="5384" width="10.28515625" style="1181" bestFit="1" customWidth="1"/>
    <col min="5385" max="5385" width="10.140625" style="1181" bestFit="1" customWidth="1"/>
    <col min="5386" max="5386" width="12" style="1181" bestFit="1" customWidth="1"/>
    <col min="5387" max="5387" width="14.28515625" style="1181" bestFit="1" customWidth="1"/>
    <col min="5388" max="5388" width="13.5703125" style="1181" bestFit="1" customWidth="1"/>
    <col min="5389" max="5389" width="13.85546875" style="1181" bestFit="1" customWidth="1"/>
    <col min="5390" max="5632" width="9.140625" style="1181"/>
    <col min="5633" max="5633" width="4.42578125" style="1181" customWidth="1"/>
    <col min="5634" max="5634" width="46.85546875" style="1181" customWidth="1"/>
    <col min="5635" max="5635" width="11.28515625" style="1181" bestFit="1" customWidth="1"/>
    <col min="5636" max="5636" width="11.42578125" style="1181" bestFit="1" customWidth="1"/>
    <col min="5637" max="5637" width="11.85546875" style="1181" customWidth="1"/>
    <col min="5638" max="5638" width="10" style="1181" customWidth="1"/>
    <col min="5639" max="5639" width="11.140625" style="1181" customWidth="1"/>
    <col min="5640" max="5640" width="10.28515625" style="1181" bestFit="1" customWidth="1"/>
    <col min="5641" max="5641" width="10.140625" style="1181" bestFit="1" customWidth="1"/>
    <col min="5642" max="5642" width="12" style="1181" bestFit="1" customWidth="1"/>
    <col min="5643" max="5643" width="14.28515625" style="1181" bestFit="1" customWidth="1"/>
    <col min="5644" max="5644" width="13.5703125" style="1181" bestFit="1" customWidth="1"/>
    <col min="5645" max="5645" width="13.85546875" style="1181" bestFit="1" customWidth="1"/>
    <col min="5646" max="5888" width="9.140625" style="1181"/>
    <col min="5889" max="5889" width="4.42578125" style="1181" customWidth="1"/>
    <col min="5890" max="5890" width="46.85546875" style="1181" customWidth="1"/>
    <col min="5891" max="5891" width="11.28515625" style="1181" bestFit="1" customWidth="1"/>
    <col min="5892" max="5892" width="11.42578125" style="1181" bestFit="1" customWidth="1"/>
    <col min="5893" max="5893" width="11.85546875" style="1181" customWidth="1"/>
    <col min="5894" max="5894" width="10" style="1181" customWidth="1"/>
    <col min="5895" max="5895" width="11.140625" style="1181" customWidth="1"/>
    <col min="5896" max="5896" width="10.28515625" style="1181" bestFit="1" customWidth="1"/>
    <col min="5897" max="5897" width="10.140625" style="1181" bestFit="1" customWidth="1"/>
    <col min="5898" max="5898" width="12" style="1181" bestFit="1" customWidth="1"/>
    <col min="5899" max="5899" width="14.28515625" style="1181" bestFit="1" customWidth="1"/>
    <col min="5900" max="5900" width="13.5703125" style="1181" bestFit="1" customWidth="1"/>
    <col min="5901" max="5901" width="13.85546875" style="1181" bestFit="1" customWidth="1"/>
    <col min="5902" max="6144" width="9.140625" style="1181"/>
    <col min="6145" max="6145" width="4.42578125" style="1181" customWidth="1"/>
    <col min="6146" max="6146" width="46.85546875" style="1181" customWidth="1"/>
    <col min="6147" max="6147" width="11.28515625" style="1181" bestFit="1" customWidth="1"/>
    <col min="6148" max="6148" width="11.42578125" style="1181" bestFit="1" customWidth="1"/>
    <col min="6149" max="6149" width="11.85546875" style="1181" customWidth="1"/>
    <col min="6150" max="6150" width="10" style="1181" customWidth="1"/>
    <col min="6151" max="6151" width="11.140625" style="1181" customWidth="1"/>
    <col min="6152" max="6152" width="10.28515625" style="1181" bestFit="1" customWidth="1"/>
    <col min="6153" max="6153" width="10.140625" style="1181" bestFit="1" customWidth="1"/>
    <col min="6154" max="6154" width="12" style="1181" bestFit="1" customWidth="1"/>
    <col min="6155" max="6155" width="14.28515625" style="1181" bestFit="1" customWidth="1"/>
    <col min="6156" max="6156" width="13.5703125" style="1181" bestFit="1" customWidth="1"/>
    <col min="6157" max="6157" width="13.85546875" style="1181" bestFit="1" customWidth="1"/>
    <col min="6158" max="6400" width="9.140625" style="1181"/>
    <col min="6401" max="6401" width="4.42578125" style="1181" customWidth="1"/>
    <col min="6402" max="6402" width="46.85546875" style="1181" customWidth="1"/>
    <col min="6403" max="6403" width="11.28515625" style="1181" bestFit="1" customWidth="1"/>
    <col min="6404" max="6404" width="11.42578125" style="1181" bestFit="1" customWidth="1"/>
    <col min="6405" max="6405" width="11.85546875" style="1181" customWidth="1"/>
    <col min="6406" max="6406" width="10" style="1181" customWidth="1"/>
    <col min="6407" max="6407" width="11.140625" style="1181" customWidth="1"/>
    <col min="6408" max="6408" width="10.28515625" style="1181" bestFit="1" customWidth="1"/>
    <col min="6409" max="6409" width="10.140625" style="1181" bestFit="1" customWidth="1"/>
    <col min="6410" max="6410" width="12" style="1181" bestFit="1" customWidth="1"/>
    <col min="6411" max="6411" width="14.28515625" style="1181" bestFit="1" customWidth="1"/>
    <col min="6412" max="6412" width="13.5703125" style="1181" bestFit="1" customWidth="1"/>
    <col min="6413" max="6413" width="13.85546875" style="1181" bestFit="1" customWidth="1"/>
    <col min="6414" max="6656" width="9.140625" style="1181"/>
    <col min="6657" max="6657" width="4.42578125" style="1181" customWidth="1"/>
    <col min="6658" max="6658" width="46.85546875" style="1181" customWidth="1"/>
    <col min="6659" max="6659" width="11.28515625" style="1181" bestFit="1" customWidth="1"/>
    <col min="6660" max="6660" width="11.42578125" style="1181" bestFit="1" customWidth="1"/>
    <col min="6661" max="6661" width="11.85546875" style="1181" customWidth="1"/>
    <col min="6662" max="6662" width="10" style="1181" customWidth="1"/>
    <col min="6663" max="6663" width="11.140625" style="1181" customWidth="1"/>
    <col min="6664" max="6664" width="10.28515625" style="1181" bestFit="1" customWidth="1"/>
    <col min="6665" max="6665" width="10.140625" style="1181" bestFit="1" customWidth="1"/>
    <col min="6666" max="6666" width="12" style="1181" bestFit="1" customWidth="1"/>
    <col min="6667" max="6667" width="14.28515625" style="1181" bestFit="1" customWidth="1"/>
    <col min="6668" max="6668" width="13.5703125" style="1181" bestFit="1" customWidth="1"/>
    <col min="6669" max="6669" width="13.85546875" style="1181" bestFit="1" customWidth="1"/>
    <col min="6670" max="6912" width="9.140625" style="1181"/>
    <col min="6913" max="6913" width="4.42578125" style="1181" customWidth="1"/>
    <col min="6914" max="6914" width="46.85546875" style="1181" customWidth="1"/>
    <col min="6915" max="6915" width="11.28515625" style="1181" bestFit="1" customWidth="1"/>
    <col min="6916" max="6916" width="11.42578125" style="1181" bestFit="1" customWidth="1"/>
    <col min="6917" max="6917" width="11.85546875" style="1181" customWidth="1"/>
    <col min="6918" max="6918" width="10" style="1181" customWidth="1"/>
    <col min="6919" max="6919" width="11.140625" style="1181" customWidth="1"/>
    <col min="6920" max="6920" width="10.28515625" style="1181" bestFit="1" customWidth="1"/>
    <col min="6921" max="6921" width="10.140625" style="1181" bestFit="1" customWidth="1"/>
    <col min="6922" max="6922" width="12" style="1181" bestFit="1" customWidth="1"/>
    <col min="6923" max="6923" width="14.28515625" style="1181" bestFit="1" customWidth="1"/>
    <col min="6924" max="6924" width="13.5703125" style="1181" bestFit="1" customWidth="1"/>
    <col min="6925" max="6925" width="13.85546875" style="1181" bestFit="1" customWidth="1"/>
    <col min="6926" max="7168" width="9.140625" style="1181"/>
    <col min="7169" max="7169" width="4.42578125" style="1181" customWidth="1"/>
    <col min="7170" max="7170" width="46.85546875" style="1181" customWidth="1"/>
    <col min="7171" max="7171" width="11.28515625" style="1181" bestFit="1" customWidth="1"/>
    <col min="7172" max="7172" width="11.42578125" style="1181" bestFit="1" customWidth="1"/>
    <col min="7173" max="7173" width="11.85546875" style="1181" customWidth="1"/>
    <col min="7174" max="7174" width="10" style="1181" customWidth="1"/>
    <col min="7175" max="7175" width="11.140625" style="1181" customWidth="1"/>
    <col min="7176" max="7176" width="10.28515625" style="1181" bestFit="1" customWidth="1"/>
    <col min="7177" max="7177" width="10.140625" style="1181" bestFit="1" customWidth="1"/>
    <col min="7178" max="7178" width="12" style="1181" bestFit="1" customWidth="1"/>
    <col min="7179" max="7179" width="14.28515625" style="1181" bestFit="1" customWidth="1"/>
    <col min="7180" max="7180" width="13.5703125" style="1181" bestFit="1" customWidth="1"/>
    <col min="7181" max="7181" width="13.85546875" style="1181" bestFit="1" customWidth="1"/>
    <col min="7182" max="7424" width="9.140625" style="1181"/>
    <col min="7425" max="7425" width="4.42578125" style="1181" customWidth="1"/>
    <col min="7426" max="7426" width="46.85546875" style="1181" customWidth="1"/>
    <col min="7427" max="7427" width="11.28515625" style="1181" bestFit="1" customWidth="1"/>
    <col min="7428" max="7428" width="11.42578125" style="1181" bestFit="1" customWidth="1"/>
    <col min="7429" max="7429" width="11.85546875" style="1181" customWidth="1"/>
    <col min="7430" max="7430" width="10" style="1181" customWidth="1"/>
    <col min="7431" max="7431" width="11.140625" style="1181" customWidth="1"/>
    <col min="7432" max="7432" width="10.28515625" style="1181" bestFit="1" customWidth="1"/>
    <col min="7433" max="7433" width="10.140625" style="1181" bestFit="1" customWidth="1"/>
    <col min="7434" max="7434" width="12" style="1181" bestFit="1" customWidth="1"/>
    <col min="7435" max="7435" width="14.28515625" style="1181" bestFit="1" customWidth="1"/>
    <col min="7436" max="7436" width="13.5703125" style="1181" bestFit="1" customWidth="1"/>
    <col min="7437" max="7437" width="13.85546875" style="1181" bestFit="1" customWidth="1"/>
    <col min="7438" max="7680" width="9.140625" style="1181"/>
    <col min="7681" max="7681" width="4.42578125" style="1181" customWidth="1"/>
    <col min="7682" max="7682" width="46.85546875" style="1181" customWidth="1"/>
    <col min="7683" max="7683" width="11.28515625" style="1181" bestFit="1" customWidth="1"/>
    <col min="7684" max="7684" width="11.42578125" style="1181" bestFit="1" customWidth="1"/>
    <col min="7685" max="7685" width="11.85546875" style="1181" customWidth="1"/>
    <col min="7686" max="7686" width="10" style="1181" customWidth="1"/>
    <col min="7687" max="7687" width="11.140625" style="1181" customWidth="1"/>
    <col min="7688" max="7688" width="10.28515625" style="1181" bestFit="1" customWidth="1"/>
    <col min="7689" max="7689" width="10.140625" style="1181" bestFit="1" customWidth="1"/>
    <col min="7690" max="7690" width="12" style="1181" bestFit="1" customWidth="1"/>
    <col min="7691" max="7691" width="14.28515625" style="1181" bestFit="1" customWidth="1"/>
    <col min="7692" max="7692" width="13.5703125" style="1181" bestFit="1" customWidth="1"/>
    <col min="7693" max="7693" width="13.85546875" style="1181" bestFit="1" customWidth="1"/>
    <col min="7694" max="7936" width="9.140625" style="1181"/>
    <col min="7937" max="7937" width="4.42578125" style="1181" customWidth="1"/>
    <col min="7938" max="7938" width="46.85546875" style="1181" customWidth="1"/>
    <col min="7939" max="7939" width="11.28515625" style="1181" bestFit="1" customWidth="1"/>
    <col min="7940" max="7940" width="11.42578125" style="1181" bestFit="1" customWidth="1"/>
    <col min="7941" max="7941" width="11.85546875" style="1181" customWidth="1"/>
    <col min="7942" max="7942" width="10" style="1181" customWidth="1"/>
    <col min="7943" max="7943" width="11.140625" style="1181" customWidth="1"/>
    <col min="7944" max="7944" width="10.28515625" style="1181" bestFit="1" customWidth="1"/>
    <col min="7945" max="7945" width="10.140625" style="1181" bestFit="1" customWidth="1"/>
    <col min="7946" max="7946" width="12" style="1181" bestFit="1" customWidth="1"/>
    <col min="7947" max="7947" width="14.28515625" style="1181" bestFit="1" customWidth="1"/>
    <col min="7948" max="7948" width="13.5703125" style="1181" bestFit="1" customWidth="1"/>
    <col min="7949" max="7949" width="13.85546875" style="1181" bestFit="1" customWidth="1"/>
    <col min="7950" max="8192" width="9.140625" style="1181"/>
    <col min="8193" max="8193" width="4.42578125" style="1181" customWidth="1"/>
    <col min="8194" max="8194" width="46.85546875" style="1181" customWidth="1"/>
    <col min="8195" max="8195" width="11.28515625" style="1181" bestFit="1" customWidth="1"/>
    <col min="8196" max="8196" width="11.42578125" style="1181" bestFit="1" customWidth="1"/>
    <col min="8197" max="8197" width="11.85546875" style="1181" customWidth="1"/>
    <col min="8198" max="8198" width="10" style="1181" customWidth="1"/>
    <col min="8199" max="8199" width="11.140625" style="1181" customWidth="1"/>
    <col min="8200" max="8200" width="10.28515625" style="1181" bestFit="1" customWidth="1"/>
    <col min="8201" max="8201" width="10.140625" style="1181" bestFit="1" customWidth="1"/>
    <col min="8202" max="8202" width="12" style="1181" bestFit="1" customWidth="1"/>
    <col min="8203" max="8203" width="14.28515625" style="1181" bestFit="1" customWidth="1"/>
    <col min="8204" max="8204" width="13.5703125" style="1181" bestFit="1" customWidth="1"/>
    <col min="8205" max="8205" width="13.85546875" style="1181" bestFit="1" customWidth="1"/>
    <col min="8206" max="8448" width="9.140625" style="1181"/>
    <col min="8449" max="8449" width="4.42578125" style="1181" customWidth="1"/>
    <col min="8450" max="8450" width="46.85546875" style="1181" customWidth="1"/>
    <col min="8451" max="8451" width="11.28515625" style="1181" bestFit="1" customWidth="1"/>
    <col min="8452" max="8452" width="11.42578125" style="1181" bestFit="1" customWidth="1"/>
    <col min="8453" max="8453" width="11.85546875" style="1181" customWidth="1"/>
    <col min="8454" max="8454" width="10" style="1181" customWidth="1"/>
    <col min="8455" max="8455" width="11.140625" style="1181" customWidth="1"/>
    <col min="8456" max="8456" width="10.28515625" style="1181" bestFit="1" customWidth="1"/>
    <col min="8457" max="8457" width="10.140625" style="1181" bestFit="1" customWidth="1"/>
    <col min="8458" max="8458" width="12" style="1181" bestFit="1" customWidth="1"/>
    <col min="8459" max="8459" width="14.28515625" style="1181" bestFit="1" customWidth="1"/>
    <col min="8460" max="8460" width="13.5703125" style="1181" bestFit="1" customWidth="1"/>
    <col min="8461" max="8461" width="13.85546875" style="1181" bestFit="1" customWidth="1"/>
    <col min="8462" max="8704" width="9.140625" style="1181"/>
    <col min="8705" max="8705" width="4.42578125" style="1181" customWidth="1"/>
    <col min="8706" max="8706" width="46.85546875" style="1181" customWidth="1"/>
    <col min="8707" max="8707" width="11.28515625" style="1181" bestFit="1" customWidth="1"/>
    <col min="8708" max="8708" width="11.42578125" style="1181" bestFit="1" customWidth="1"/>
    <col min="8709" max="8709" width="11.85546875" style="1181" customWidth="1"/>
    <col min="8710" max="8710" width="10" style="1181" customWidth="1"/>
    <col min="8711" max="8711" width="11.140625" style="1181" customWidth="1"/>
    <col min="8712" max="8712" width="10.28515625" style="1181" bestFit="1" customWidth="1"/>
    <col min="8713" max="8713" width="10.140625" style="1181" bestFit="1" customWidth="1"/>
    <col min="8714" max="8714" width="12" style="1181" bestFit="1" customWidth="1"/>
    <col min="8715" max="8715" width="14.28515625" style="1181" bestFit="1" customWidth="1"/>
    <col min="8716" max="8716" width="13.5703125" style="1181" bestFit="1" customWidth="1"/>
    <col min="8717" max="8717" width="13.85546875" style="1181" bestFit="1" customWidth="1"/>
    <col min="8718" max="8960" width="9.140625" style="1181"/>
    <col min="8961" max="8961" width="4.42578125" style="1181" customWidth="1"/>
    <col min="8962" max="8962" width="46.85546875" style="1181" customWidth="1"/>
    <col min="8963" max="8963" width="11.28515625" style="1181" bestFit="1" customWidth="1"/>
    <col min="8964" max="8964" width="11.42578125" style="1181" bestFit="1" customWidth="1"/>
    <col min="8965" max="8965" width="11.85546875" style="1181" customWidth="1"/>
    <col min="8966" max="8966" width="10" style="1181" customWidth="1"/>
    <col min="8967" max="8967" width="11.140625" style="1181" customWidth="1"/>
    <col min="8968" max="8968" width="10.28515625" style="1181" bestFit="1" customWidth="1"/>
    <col min="8969" max="8969" width="10.140625" style="1181" bestFit="1" customWidth="1"/>
    <col min="8970" max="8970" width="12" style="1181" bestFit="1" customWidth="1"/>
    <col min="8971" max="8971" width="14.28515625" style="1181" bestFit="1" customWidth="1"/>
    <col min="8972" max="8972" width="13.5703125" style="1181" bestFit="1" customWidth="1"/>
    <col min="8973" max="8973" width="13.85546875" style="1181" bestFit="1" customWidth="1"/>
    <col min="8974" max="9216" width="9.140625" style="1181"/>
    <col min="9217" max="9217" width="4.42578125" style="1181" customWidth="1"/>
    <col min="9218" max="9218" width="46.85546875" style="1181" customWidth="1"/>
    <col min="9219" max="9219" width="11.28515625" style="1181" bestFit="1" customWidth="1"/>
    <col min="9220" max="9220" width="11.42578125" style="1181" bestFit="1" customWidth="1"/>
    <col min="9221" max="9221" width="11.85546875" style="1181" customWidth="1"/>
    <col min="9222" max="9222" width="10" style="1181" customWidth="1"/>
    <col min="9223" max="9223" width="11.140625" style="1181" customWidth="1"/>
    <col min="9224" max="9224" width="10.28515625" style="1181" bestFit="1" customWidth="1"/>
    <col min="9225" max="9225" width="10.140625" style="1181" bestFit="1" customWidth="1"/>
    <col min="9226" max="9226" width="12" style="1181" bestFit="1" customWidth="1"/>
    <col min="9227" max="9227" width="14.28515625" style="1181" bestFit="1" customWidth="1"/>
    <col min="9228" max="9228" width="13.5703125" style="1181" bestFit="1" customWidth="1"/>
    <col min="9229" max="9229" width="13.85546875" style="1181" bestFit="1" customWidth="1"/>
    <col min="9230" max="9472" width="9.140625" style="1181"/>
    <col min="9473" max="9473" width="4.42578125" style="1181" customWidth="1"/>
    <col min="9474" max="9474" width="46.85546875" style="1181" customWidth="1"/>
    <col min="9475" max="9475" width="11.28515625" style="1181" bestFit="1" customWidth="1"/>
    <col min="9476" max="9476" width="11.42578125" style="1181" bestFit="1" customWidth="1"/>
    <col min="9477" max="9477" width="11.85546875" style="1181" customWidth="1"/>
    <col min="9478" max="9478" width="10" style="1181" customWidth="1"/>
    <col min="9479" max="9479" width="11.140625" style="1181" customWidth="1"/>
    <col min="9480" max="9480" width="10.28515625" style="1181" bestFit="1" customWidth="1"/>
    <col min="9481" max="9481" width="10.140625" style="1181" bestFit="1" customWidth="1"/>
    <col min="9482" max="9482" width="12" style="1181" bestFit="1" customWidth="1"/>
    <col min="9483" max="9483" width="14.28515625" style="1181" bestFit="1" customWidth="1"/>
    <col min="9484" max="9484" width="13.5703125" style="1181" bestFit="1" customWidth="1"/>
    <col min="9485" max="9485" width="13.85546875" style="1181" bestFit="1" customWidth="1"/>
    <col min="9486" max="9728" width="9.140625" style="1181"/>
    <col min="9729" max="9729" width="4.42578125" style="1181" customWidth="1"/>
    <col min="9730" max="9730" width="46.85546875" style="1181" customWidth="1"/>
    <col min="9731" max="9731" width="11.28515625" style="1181" bestFit="1" customWidth="1"/>
    <col min="9732" max="9732" width="11.42578125" style="1181" bestFit="1" customWidth="1"/>
    <col min="9733" max="9733" width="11.85546875" style="1181" customWidth="1"/>
    <col min="9734" max="9734" width="10" style="1181" customWidth="1"/>
    <col min="9735" max="9735" width="11.140625" style="1181" customWidth="1"/>
    <col min="9736" max="9736" width="10.28515625" style="1181" bestFit="1" customWidth="1"/>
    <col min="9737" max="9737" width="10.140625" style="1181" bestFit="1" customWidth="1"/>
    <col min="9738" max="9738" width="12" style="1181" bestFit="1" customWidth="1"/>
    <col min="9739" max="9739" width="14.28515625" style="1181" bestFit="1" customWidth="1"/>
    <col min="9740" max="9740" width="13.5703125" style="1181" bestFit="1" customWidth="1"/>
    <col min="9741" max="9741" width="13.85546875" style="1181" bestFit="1" customWidth="1"/>
    <col min="9742" max="9984" width="9.140625" style="1181"/>
    <col min="9985" max="9985" width="4.42578125" style="1181" customWidth="1"/>
    <col min="9986" max="9986" width="46.85546875" style="1181" customWidth="1"/>
    <col min="9987" max="9987" width="11.28515625" style="1181" bestFit="1" customWidth="1"/>
    <col min="9988" max="9988" width="11.42578125" style="1181" bestFit="1" customWidth="1"/>
    <col min="9989" max="9989" width="11.85546875" style="1181" customWidth="1"/>
    <col min="9990" max="9990" width="10" style="1181" customWidth="1"/>
    <col min="9991" max="9991" width="11.140625" style="1181" customWidth="1"/>
    <col min="9992" max="9992" width="10.28515625" style="1181" bestFit="1" customWidth="1"/>
    <col min="9993" max="9993" width="10.140625" style="1181" bestFit="1" customWidth="1"/>
    <col min="9994" max="9994" width="12" style="1181" bestFit="1" customWidth="1"/>
    <col min="9995" max="9995" width="14.28515625" style="1181" bestFit="1" customWidth="1"/>
    <col min="9996" max="9996" width="13.5703125" style="1181" bestFit="1" customWidth="1"/>
    <col min="9997" max="9997" width="13.85546875" style="1181" bestFit="1" customWidth="1"/>
    <col min="9998" max="10240" width="9.140625" style="1181"/>
    <col min="10241" max="10241" width="4.42578125" style="1181" customWidth="1"/>
    <col min="10242" max="10242" width="46.85546875" style="1181" customWidth="1"/>
    <col min="10243" max="10243" width="11.28515625" style="1181" bestFit="1" customWidth="1"/>
    <col min="10244" max="10244" width="11.42578125" style="1181" bestFit="1" customWidth="1"/>
    <col min="10245" max="10245" width="11.85546875" style="1181" customWidth="1"/>
    <col min="10246" max="10246" width="10" style="1181" customWidth="1"/>
    <col min="10247" max="10247" width="11.140625" style="1181" customWidth="1"/>
    <col min="10248" max="10248" width="10.28515625" style="1181" bestFit="1" customWidth="1"/>
    <col min="10249" max="10249" width="10.140625" style="1181" bestFit="1" customWidth="1"/>
    <col min="10250" max="10250" width="12" style="1181" bestFit="1" customWidth="1"/>
    <col min="10251" max="10251" width="14.28515625" style="1181" bestFit="1" customWidth="1"/>
    <col min="10252" max="10252" width="13.5703125" style="1181" bestFit="1" customWidth="1"/>
    <col min="10253" max="10253" width="13.85546875" style="1181" bestFit="1" customWidth="1"/>
    <col min="10254" max="10496" width="9.140625" style="1181"/>
    <col min="10497" max="10497" width="4.42578125" style="1181" customWidth="1"/>
    <col min="10498" max="10498" width="46.85546875" style="1181" customWidth="1"/>
    <col min="10499" max="10499" width="11.28515625" style="1181" bestFit="1" customWidth="1"/>
    <col min="10500" max="10500" width="11.42578125" style="1181" bestFit="1" customWidth="1"/>
    <col min="10501" max="10501" width="11.85546875" style="1181" customWidth="1"/>
    <col min="10502" max="10502" width="10" style="1181" customWidth="1"/>
    <col min="10503" max="10503" width="11.140625" style="1181" customWidth="1"/>
    <col min="10504" max="10504" width="10.28515625" style="1181" bestFit="1" customWidth="1"/>
    <col min="10505" max="10505" width="10.140625" style="1181" bestFit="1" customWidth="1"/>
    <col min="10506" max="10506" width="12" style="1181" bestFit="1" customWidth="1"/>
    <col min="10507" max="10507" width="14.28515625" style="1181" bestFit="1" customWidth="1"/>
    <col min="10508" max="10508" width="13.5703125" style="1181" bestFit="1" customWidth="1"/>
    <col min="10509" max="10509" width="13.85546875" style="1181" bestFit="1" customWidth="1"/>
    <col min="10510" max="10752" width="9.140625" style="1181"/>
    <col min="10753" max="10753" width="4.42578125" style="1181" customWidth="1"/>
    <col min="10754" max="10754" width="46.85546875" style="1181" customWidth="1"/>
    <col min="10755" max="10755" width="11.28515625" style="1181" bestFit="1" customWidth="1"/>
    <col min="10756" max="10756" width="11.42578125" style="1181" bestFit="1" customWidth="1"/>
    <col min="10757" max="10757" width="11.85546875" style="1181" customWidth="1"/>
    <col min="10758" max="10758" width="10" style="1181" customWidth="1"/>
    <col min="10759" max="10759" width="11.140625" style="1181" customWidth="1"/>
    <col min="10760" max="10760" width="10.28515625" style="1181" bestFit="1" customWidth="1"/>
    <col min="10761" max="10761" width="10.140625" style="1181" bestFit="1" customWidth="1"/>
    <col min="10762" max="10762" width="12" style="1181" bestFit="1" customWidth="1"/>
    <col min="10763" max="10763" width="14.28515625" style="1181" bestFit="1" customWidth="1"/>
    <col min="10764" max="10764" width="13.5703125" style="1181" bestFit="1" customWidth="1"/>
    <col min="10765" max="10765" width="13.85546875" style="1181" bestFit="1" customWidth="1"/>
    <col min="10766" max="11008" width="9.140625" style="1181"/>
    <col min="11009" max="11009" width="4.42578125" style="1181" customWidth="1"/>
    <col min="11010" max="11010" width="46.85546875" style="1181" customWidth="1"/>
    <col min="11011" max="11011" width="11.28515625" style="1181" bestFit="1" customWidth="1"/>
    <col min="11012" max="11012" width="11.42578125" style="1181" bestFit="1" customWidth="1"/>
    <col min="11013" max="11013" width="11.85546875" style="1181" customWidth="1"/>
    <col min="11014" max="11014" width="10" style="1181" customWidth="1"/>
    <col min="11015" max="11015" width="11.140625" style="1181" customWidth="1"/>
    <col min="11016" max="11016" width="10.28515625" style="1181" bestFit="1" customWidth="1"/>
    <col min="11017" max="11017" width="10.140625" style="1181" bestFit="1" customWidth="1"/>
    <col min="11018" max="11018" width="12" style="1181" bestFit="1" customWidth="1"/>
    <col min="11019" max="11019" width="14.28515625" style="1181" bestFit="1" customWidth="1"/>
    <col min="11020" max="11020" width="13.5703125" style="1181" bestFit="1" customWidth="1"/>
    <col min="11021" max="11021" width="13.85546875" style="1181" bestFit="1" customWidth="1"/>
    <col min="11022" max="11264" width="9.140625" style="1181"/>
    <col min="11265" max="11265" width="4.42578125" style="1181" customWidth="1"/>
    <col min="11266" max="11266" width="46.85546875" style="1181" customWidth="1"/>
    <col min="11267" max="11267" width="11.28515625" style="1181" bestFit="1" customWidth="1"/>
    <col min="11268" max="11268" width="11.42578125" style="1181" bestFit="1" customWidth="1"/>
    <col min="11269" max="11269" width="11.85546875" style="1181" customWidth="1"/>
    <col min="11270" max="11270" width="10" style="1181" customWidth="1"/>
    <col min="11271" max="11271" width="11.140625" style="1181" customWidth="1"/>
    <col min="11272" max="11272" width="10.28515625" style="1181" bestFit="1" customWidth="1"/>
    <col min="11273" max="11273" width="10.140625" style="1181" bestFit="1" customWidth="1"/>
    <col min="11274" max="11274" width="12" style="1181" bestFit="1" customWidth="1"/>
    <col min="11275" max="11275" width="14.28515625" style="1181" bestFit="1" customWidth="1"/>
    <col min="11276" max="11276" width="13.5703125" style="1181" bestFit="1" customWidth="1"/>
    <col min="11277" max="11277" width="13.85546875" style="1181" bestFit="1" customWidth="1"/>
    <col min="11278" max="11520" width="9.140625" style="1181"/>
    <col min="11521" max="11521" width="4.42578125" style="1181" customWidth="1"/>
    <col min="11522" max="11522" width="46.85546875" style="1181" customWidth="1"/>
    <col min="11523" max="11523" width="11.28515625" style="1181" bestFit="1" customWidth="1"/>
    <col min="11524" max="11524" width="11.42578125" style="1181" bestFit="1" customWidth="1"/>
    <col min="11525" max="11525" width="11.85546875" style="1181" customWidth="1"/>
    <col min="11526" max="11526" width="10" style="1181" customWidth="1"/>
    <col min="11527" max="11527" width="11.140625" style="1181" customWidth="1"/>
    <col min="11528" max="11528" width="10.28515625" style="1181" bestFit="1" customWidth="1"/>
    <col min="11529" max="11529" width="10.140625" style="1181" bestFit="1" customWidth="1"/>
    <col min="11530" max="11530" width="12" style="1181" bestFit="1" customWidth="1"/>
    <col min="11531" max="11531" width="14.28515625" style="1181" bestFit="1" customWidth="1"/>
    <col min="11532" max="11532" width="13.5703125" style="1181" bestFit="1" customWidth="1"/>
    <col min="11533" max="11533" width="13.85546875" style="1181" bestFit="1" customWidth="1"/>
    <col min="11534" max="11776" width="9.140625" style="1181"/>
    <col min="11777" max="11777" width="4.42578125" style="1181" customWidth="1"/>
    <col min="11778" max="11778" width="46.85546875" style="1181" customWidth="1"/>
    <col min="11779" max="11779" width="11.28515625" style="1181" bestFit="1" customWidth="1"/>
    <col min="11780" max="11780" width="11.42578125" style="1181" bestFit="1" customWidth="1"/>
    <col min="11781" max="11781" width="11.85546875" style="1181" customWidth="1"/>
    <col min="11782" max="11782" width="10" style="1181" customWidth="1"/>
    <col min="11783" max="11783" width="11.140625" style="1181" customWidth="1"/>
    <col min="11784" max="11784" width="10.28515625" style="1181" bestFit="1" customWidth="1"/>
    <col min="11785" max="11785" width="10.140625" style="1181" bestFit="1" customWidth="1"/>
    <col min="11786" max="11786" width="12" style="1181" bestFit="1" customWidth="1"/>
    <col min="11787" max="11787" width="14.28515625" style="1181" bestFit="1" customWidth="1"/>
    <col min="11788" max="11788" width="13.5703125" style="1181" bestFit="1" customWidth="1"/>
    <col min="11789" max="11789" width="13.85546875" style="1181" bestFit="1" customWidth="1"/>
    <col min="11790" max="12032" width="9.140625" style="1181"/>
    <col min="12033" max="12033" width="4.42578125" style="1181" customWidth="1"/>
    <col min="12034" max="12034" width="46.85546875" style="1181" customWidth="1"/>
    <col min="12035" max="12035" width="11.28515625" style="1181" bestFit="1" customWidth="1"/>
    <col min="12036" max="12036" width="11.42578125" style="1181" bestFit="1" customWidth="1"/>
    <col min="12037" max="12037" width="11.85546875" style="1181" customWidth="1"/>
    <col min="12038" max="12038" width="10" style="1181" customWidth="1"/>
    <col min="12039" max="12039" width="11.140625" style="1181" customWidth="1"/>
    <col min="12040" max="12040" width="10.28515625" style="1181" bestFit="1" customWidth="1"/>
    <col min="12041" max="12041" width="10.140625" style="1181" bestFit="1" customWidth="1"/>
    <col min="12042" max="12042" width="12" style="1181" bestFit="1" customWidth="1"/>
    <col min="12043" max="12043" width="14.28515625" style="1181" bestFit="1" customWidth="1"/>
    <col min="12044" max="12044" width="13.5703125" style="1181" bestFit="1" customWidth="1"/>
    <col min="12045" max="12045" width="13.85546875" style="1181" bestFit="1" customWidth="1"/>
    <col min="12046" max="12288" width="9.140625" style="1181"/>
    <col min="12289" max="12289" width="4.42578125" style="1181" customWidth="1"/>
    <col min="12290" max="12290" width="46.85546875" style="1181" customWidth="1"/>
    <col min="12291" max="12291" width="11.28515625" style="1181" bestFit="1" customWidth="1"/>
    <col min="12292" max="12292" width="11.42578125" style="1181" bestFit="1" customWidth="1"/>
    <col min="12293" max="12293" width="11.85546875" style="1181" customWidth="1"/>
    <col min="12294" max="12294" width="10" style="1181" customWidth="1"/>
    <col min="12295" max="12295" width="11.140625" style="1181" customWidth="1"/>
    <col min="12296" max="12296" width="10.28515625" style="1181" bestFit="1" customWidth="1"/>
    <col min="12297" max="12297" width="10.140625" style="1181" bestFit="1" customWidth="1"/>
    <col min="12298" max="12298" width="12" style="1181" bestFit="1" customWidth="1"/>
    <col min="12299" max="12299" width="14.28515625" style="1181" bestFit="1" customWidth="1"/>
    <col min="12300" max="12300" width="13.5703125" style="1181" bestFit="1" customWidth="1"/>
    <col min="12301" max="12301" width="13.85546875" style="1181" bestFit="1" customWidth="1"/>
    <col min="12302" max="12544" width="9.140625" style="1181"/>
    <col min="12545" max="12545" width="4.42578125" style="1181" customWidth="1"/>
    <col min="12546" max="12546" width="46.85546875" style="1181" customWidth="1"/>
    <col min="12547" max="12547" width="11.28515625" style="1181" bestFit="1" customWidth="1"/>
    <col min="12548" max="12548" width="11.42578125" style="1181" bestFit="1" customWidth="1"/>
    <col min="12549" max="12549" width="11.85546875" style="1181" customWidth="1"/>
    <col min="12550" max="12550" width="10" style="1181" customWidth="1"/>
    <col min="12551" max="12551" width="11.140625" style="1181" customWidth="1"/>
    <col min="12552" max="12552" width="10.28515625" style="1181" bestFit="1" customWidth="1"/>
    <col min="12553" max="12553" width="10.140625" style="1181" bestFit="1" customWidth="1"/>
    <col min="12554" max="12554" width="12" style="1181" bestFit="1" customWidth="1"/>
    <col min="12555" max="12555" width="14.28515625" style="1181" bestFit="1" customWidth="1"/>
    <col min="12556" max="12556" width="13.5703125" style="1181" bestFit="1" customWidth="1"/>
    <col min="12557" max="12557" width="13.85546875" style="1181" bestFit="1" customWidth="1"/>
    <col min="12558" max="12800" width="9.140625" style="1181"/>
    <col min="12801" max="12801" width="4.42578125" style="1181" customWidth="1"/>
    <col min="12802" max="12802" width="46.85546875" style="1181" customWidth="1"/>
    <col min="12803" max="12803" width="11.28515625" style="1181" bestFit="1" customWidth="1"/>
    <col min="12804" max="12804" width="11.42578125" style="1181" bestFit="1" customWidth="1"/>
    <col min="12805" max="12805" width="11.85546875" style="1181" customWidth="1"/>
    <col min="12806" max="12806" width="10" style="1181" customWidth="1"/>
    <col min="12807" max="12807" width="11.140625" style="1181" customWidth="1"/>
    <col min="12808" max="12808" width="10.28515625" style="1181" bestFit="1" customWidth="1"/>
    <col min="12809" max="12809" width="10.140625" style="1181" bestFit="1" customWidth="1"/>
    <col min="12810" max="12810" width="12" style="1181" bestFit="1" customWidth="1"/>
    <col min="12811" max="12811" width="14.28515625" style="1181" bestFit="1" customWidth="1"/>
    <col min="12812" max="12812" width="13.5703125" style="1181" bestFit="1" customWidth="1"/>
    <col min="12813" max="12813" width="13.85546875" style="1181" bestFit="1" customWidth="1"/>
    <col min="12814" max="13056" width="9.140625" style="1181"/>
    <col min="13057" max="13057" width="4.42578125" style="1181" customWidth="1"/>
    <col min="13058" max="13058" width="46.85546875" style="1181" customWidth="1"/>
    <col min="13059" max="13059" width="11.28515625" style="1181" bestFit="1" customWidth="1"/>
    <col min="13060" max="13060" width="11.42578125" style="1181" bestFit="1" customWidth="1"/>
    <col min="13061" max="13061" width="11.85546875" style="1181" customWidth="1"/>
    <col min="13062" max="13062" width="10" style="1181" customWidth="1"/>
    <col min="13063" max="13063" width="11.140625" style="1181" customWidth="1"/>
    <col min="13064" max="13064" width="10.28515625" style="1181" bestFit="1" customWidth="1"/>
    <col min="13065" max="13065" width="10.140625" style="1181" bestFit="1" customWidth="1"/>
    <col min="13066" max="13066" width="12" style="1181" bestFit="1" customWidth="1"/>
    <col min="13067" max="13067" width="14.28515625" style="1181" bestFit="1" customWidth="1"/>
    <col min="13068" max="13068" width="13.5703125" style="1181" bestFit="1" customWidth="1"/>
    <col min="13069" max="13069" width="13.85546875" style="1181" bestFit="1" customWidth="1"/>
    <col min="13070" max="13312" width="9.140625" style="1181"/>
    <col min="13313" max="13313" width="4.42578125" style="1181" customWidth="1"/>
    <col min="13314" max="13314" width="46.85546875" style="1181" customWidth="1"/>
    <col min="13315" max="13315" width="11.28515625" style="1181" bestFit="1" customWidth="1"/>
    <col min="13316" max="13316" width="11.42578125" style="1181" bestFit="1" customWidth="1"/>
    <col min="13317" max="13317" width="11.85546875" style="1181" customWidth="1"/>
    <col min="13318" max="13318" width="10" style="1181" customWidth="1"/>
    <col min="13319" max="13319" width="11.140625" style="1181" customWidth="1"/>
    <col min="13320" max="13320" width="10.28515625" style="1181" bestFit="1" customWidth="1"/>
    <col min="13321" max="13321" width="10.140625" style="1181" bestFit="1" customWidth="1"/>
    <col min="13322" max="13322" width="12" style="1181" bestFit="1" customWidth="1"/>
    <col min="13323" max="13323" width="14.28515625" style="1181" bestFit="1" customWidth="1"/>
    <col min="13324" max="13324" width="13.5703125" style="1181" bestFit="1" customWidth="1"/>
    <col min="13325" max="13325" width="13.85546875" style="1181" bestFit="1" customWidth="1"/>
    <col min="13326" max="13568" width="9.140625" style="1181"/>
    <col min="13569" max="13569" width="4.42578125" style="1181" customWidth="1"/>
    <col min="13570" max="13570" width="46.85546875" style="1181" customWidth="1"/>
    <col min="13571" max="13571" width="11.28515625" style="1181" bestFit="1" customWidth="1"/>
    <col min="13572" max="13572" width="11.42578125" style="1181" bestFit="1" customWidth="1"/>
    <col min="13573" max="13573" width="11.85546875" style="1181" customWidth="1"/>
    <col min="13574" max="13574" width="10" style="1181" customWidth="1"/>
    <col min="13575" max="13575" width="11.140625" style="1181" customWidth="1"/>
    <col min="13576" max="13576" width="10.28515625" style="1181" bestFit="1" customWidth="1"/>
    <col min="13577" max="13577" width="10.140625" style="1181" bestFit="1" customWidth="1"/>
    <col min="13578" max="13578" width="12" style="1181" bestFit="1" customWidth="1"/>
    <col min="13579" max="13579" width="14.28515625" style="1181" bestFit="1" customWidth="1"/>
    <col min="13580" max="13580" width="13.5703125" style="1181" bestFit="1" customWidth="1"/>
    <col min="13581" max="13581" width="13.85546875" style="1181" bestFit="1" customWidth="1"/>
    <col min="13582" max="13824" width="9.140625" style="1181"/>
    <col min="13825" max="13825" width="4.42578125" style="1181" customWidth="1"/>
    <col min="13826" max="13826" width="46.85546875" style="1181" customWidth="1"/>
    <col min="13827" max="13827" width="11.28515625" style="1181" bestFit="1" customWidth="1"/>
    <col min="13828" max="13828" width="11.42578125" style="1181" bestFit="1" customWidth="1"/>
    <col min="13829" max="13829" width="11.85546875" style="1181" customWidth="1"/>
    <col min="13830" max="13830" width="10" style="1181" customWidth="1"/>
    <col min="13831" max="13831" width="11.140625" style="1181" customWidth="1"/>
    <col min="13832" max="13832" width="10.28515625" style="1181" bestFit="1" customWidth="1"/>
    <col min="13833" max="13833" width="10.140625" style="1181" bestFit="1" customWidth="1"/>
    <col min="13834" max="13834" width="12" style="1181" bestFit="1" customWidth="1"/>
    <col min="13835" max="13835" width="14.28515625" style="1181" bestFit="1" customWidth="1"/>
    <col min="13836" max="13836" width="13.5703125" style="1181" bestFit="1" customWidth="1"/>
    <col min="13837" max="13837" width="13.85546875" style="1181" bestFit="1" customWidth="1"/>
    <col min="13838" max="14080" width="9.140625" style="1181"/>
    <col min="14081" max="14081" width="4.42578125" style="1181" customWidth="1"/>
    <col min="14082" max="14082" width="46.85546875" style="1181" customWidth="1"/>
    <col min="14083" max="14083" width="11.28515625" style="1181" bestFit="1" customWidth="1"/>
    <col min="14084" max="14084" width="11.42578125" style="1181" bestFit="1" customWidth="1"/>
    <col min="14085" max="14085" width="11.85546875" style="1181" customWidth="1"/>
    <col min="14086" max="14086" width="10" style="1181" customWidth="1"/>
    <col min="14087" max="14087" width="11.140625" style="1181" customWidth="1"/>
    <col min="14088" max="14088" width="10.28515625" style="1181" bestFit="1" customWidth="1"/>
    <col min="14089" max="14089" width="10.140625" style="1181" bestFit="1" customWidth="1"/>
    <col min="14090" max="14090" width="12" style="1181" bestFit="1" customWidth="1"/>
    <col min="14091" max="14091" width="14.28515625" style="1181" bestFit="1" customWidth="1"/>
    <col min="14092" max="14092" width="13.5703125" style="1181" bestFit="1" customWidth="1"/>
    <col min="14093" max="14093" width="13.85546875" style="1181" bestFit="1" customWidth="1"/>
    <col min="14094" max="14336" width="9.140625" style="1181"/>
    <col min="14337" max="14337" width="4.42578125" style="1181" customWidth="1"/>
    <col min="14338" max="14338" width="46.85546875" style="1181" customWidth="1"/>
    <col min="14339" max="14339" width="11.28515625" style="1181" bestFit="1" customWidth="1"/>
    <col min="14340" max="14340" width="11.42578125" style="1181" bestFit="1" customWidth="1"/>
    <col min="14341" max="14341" width="11.85546875" style="1181" customWidth="1"/>
    <col min="14342" max="14342" width="10" style="1181" customWidth="1"/>
    <col min="14343" max="14343" width="11.140625" style="1181" customWidth="1"/>
    <col min="14344" max="14344" width="10.28515625" style="1181" bestFit="1" customWidth="1"/>
    <col min="14345" max="14345" width="10.140625" style="1181" bestFit="1" customWidth="1"/>
    <col min="14346" max="14346" width="12" style="1181" bestFit="1" customWidth="1"/>
    <col min="14347" max="14347" width="14.28515625" style="1181" bestFit="1" customWidth="1"/>
    <col min="14348" max="14348" width="13.5703125" style="1181" bestFit="1" customWidth="1"/>
    <col min="14349" max="14349" width="13.85546875" style="1181" bestFit="1" customWidth="1"/>
    <col min="14350" max="14592" width="9.140625" style="1181"/>
    <col min="14593" max="14593" width="4.42578125" style="1181" customWidth="1"/>
    <col min="14594" max="14594" width="46.85546875" style="1181" customWidth="1"/>
    <col min="14595" max="14595" width="11.28515625" style="1181" bestFit="1" customWidth="1"/>
    <col min="14596" max="14596" width="11.42578125" style="1181" bestFit="1" customWidth="1"/>
    <col min="14597" max="14597" width="11.85546875" style="1181" customWidth="1"/>
    <col min="14598" max="14598" width="10" style="1181" customWidth="1"/>
    <col min="14599" max="14599" width="11.140625" style="1181" customWidth="1"/>
    <col min="14600" max="14600" width="10.28515625" style="1181" bestFit="1" customWidth="1"/>
    <col min="14601" max="14601" width="10.140625" style="1181" bestFit="1" customWidth="1"/>
    <col min="14602" max="14602" width="12" style="1181" bestFit="1" customWidth="1"/>
    <col min="14603" max="14603" width="14.28515625" style="1181" bestFit="1" customWidth="1"/>
    <col min="14604" max="14604" width="13.5703125" style="1181" bestFit="1" customWidth="1"/>
    <col min="14605" max="14605" width="13.85546875" style="1181" bestFit="1" customWidth="1"/>
    <col min="14606" max="14848" width="9.140625" style="1181"/>
    <col min="14849" max="14849" width="4.42578125" style="1181" customWidth="1"/>
    <col min="14850" max="14850" width="46.85546875" style="1181" customWidth="1"/>
    <col min="14851" max="14851" width="11.28515625" style="1181" bestFit="1" customWidth="1"/>
    <col min="14852" max="14852" width="11.42578125" style="1181" bestFit="1" customWidth="1"/>
    <col min="14853" max="14853" width="11.85546875" style="1181" customWidth="1"/>
    <col min="14854" max="14854" width="10" style="1181" customWidth="1"/>
    <col min="14855" max="14855" width="11.140625" style="1181" customWidth="1"/>
    <col min="14856" max="14856" width="10.28515625" style="1181" bestFit="1" customWidth="1"/>
    <col min="14857" max="14857" width="10.140625" style="1181" bestFit="1" customWidth="1"/>
    <col min="14858" max="14858" width="12" style="1181" bestFit="1" customWidth="1"/>
    <col min="14859" max="14859" width="14.28515625" style="1181" bestFit="1" customWidth="1"/>
    <col min="14860" max="14860" width="13.5703125" style="1181" bestFit="1" customWidth="1"/>
    <col min="14861" max="14861" width="13.85546875" style="1181" bestFit="1" customWidth="1"/>
    <col min="14862" max="15104" width="9.140625" style="1181"/>
    <col min="15105" max="15105" width="4.42578125" style="1181" customWidth="1"/>
    <col min="15106" max="15106" width="46.85546875" style="1181" customWidth="1"/>
    <col min="15107" max="15107" width="11.28515625" style="1181" bestFit="1" customWidth="1"/>
    <col min="15108" max="15108" width="11.42578125" style="1181" bestFit="1" customWidth="1"/>
    <col min="15109" max="15109" width="11.85546875" style="1181" customWidth="1"/>
    <col min="15110" max="15110" width="10" style="1181" customWidth="1"/>
    <col min="15111" max="15111" width="11.140625" style="1181" customWidth="1"/>
    <col min="15112" max="15112" width="10.28515625" style="1181" bestFit="1" customWidth="1"/>
    <col min="15113" max="15113" width="10.140625" style="1181" bestFit="1" customWidth="1"/>
    <col min="15114" max="15114" width="12" style="1181" bestFit="1" customWidth="1"/>
    <col min="15115" max="15115" width="14.28515625" style="1181" bestFit="1" customWidth="1"/>
    <col min="15116" max="15116" width="13.5703125" style="1181" bestFit="1" customWidth="1"/>
    <col min="15117" max="15117" width="13.85546875" style="1181" bestFit="1" customWidth="1"/>
    <col min="15118" max="15360" width="9.140625" style="1181"/>
    <col min="15361" max="15361" width="4.42578125" style="1181" customWidth="1"/>
    <col min="15362" max="15362" width="46.85546875" style="1181" customWidth="1"/>
    <col min="15363" max="15363" width="11.28515625" style="1181" bestFit="1" customWidth="1"/>
    <col min="15364" max="15364" width="11.42578125" style="1181" bestFit="1" customWidth="1"/>
    <col min="15365" max="15365" width="11.85546875" style="1181" customWidth="1"/>
    <col min="15366" max="15366" width="10" style="1181" customWidth="1"/>
    <col min="15367" max="15367" width="11.140625" style="1181" customWidth="1"/>
    <col min="15368" max="15368" width="10.28515625" style="1181" bestFit="1" customWidth="1"/>
    <col min="15369" max="15369" width="10.140625" style="1181" bestFit="1" customWidth="1"/>
    <col min="15370" max="15370" width="12" style="1181" bestFit="1" customWidth="1"/>
    <col min="15371" max="15371" width="14.28515625" style="1181" bestFit="1" customWidth="1"/>
    <col min="15372" max="15372" width="13.5703125" style="1181" bestFit="1" customWidth="1"/>
    <col min="15373" max="15373" width="13.85546875" style="1181" bestFit="1" customWidth="1"/>
    <col min="15374" max="15616" width="9.140625" style="1181"/>
    <col min="15617" max="15617" width="4.42578125" style="1181" customWidth="1"/>
    <col min="15618" max="15618" width="46.85546875" style="1181" customWidth="1"/>
    <col min="15619" max="15619" width="11.28515625" style="1181" bestFit="1" customWidth="1"/>
    <col min="15620" max="15620" width="11.42578125" style="1181" bestFit="1" customWidth="1"/>
    <col min="15621" max="15621" width="11.85546875" style="1181" customWidth="1"/>
    <col min="15622" max="15622" width="10" style="1181" customWidth="1"/>
    <col min="15623" max="15623" width="11.140625" style="1181" customWidth="1"/>
    <col min="15624" max="15624" width="10.28515625" style="1181" bestFit="1" customWidth="1"/>
    <col min="15625" max="15625" width="10.140625" style="1181" bestFit="1" customWidth="1"/>
    <col min="15626" max="15626" width="12" style="1181" bestFit="1" customWidth="1"/>
    <col min="15627" max="15627" width="14.28515625" style="1181" bestFit="1" customWidth="1"/>
    <col min="15628" max="15628" width="13.5703125" style="1181" bestFit="1" customWidth="1"/>
    <col min="15629" max="15629" width="13.85546875" style="1181" bestFit="1" customWidth="1"/>
    <col min="15630" max="15872" width="9.140625" style="1181"/>
    <col min="15873" max="15873" width="4.42578125" style="1181" customWidth="1"/>
    <col min="15874" max="15874" width="46.85546875" style="1181" customWidth="1"/>
    <col min="15875" max="15875" width="11.28515625" style="1181" bestFit="1" customWidth="1"/>
    <col min="15876" max="15876" width="11.42578125" style="1181" bestFit="1" customWidth="1"/>
    <col min="15877" max="15877" width="11.85546875" style="1181" customWidth="1"/>
    <col min="15878" max="15878" width="10" style="1181" customWidth="1"/>
    <col min="15879" max="15879" width="11.140625" style="1181" customWidth="1"/>
    <col min="15880" max="15880" width="10.28515625" style="1181" bestFit="1" customWidth="1"/>
    <col min="15881" max="15881" width="10.140625" style="1181" bestFit="1" customWidth="1"/>
    <col min="15882" max="15882" width="12" style="1181" bestFit="1" customWidth="1"/>
    <col min="15883" max="15883" width="14.28515625" style="1181" bestFit="1" customWidth="1"/>
    <col min="15884" max="15884" width="13.5703125" style="1181" bestFit="1" customWidth="1"/>
    <col min="15885" max="15885" width="13.85546875" style="1181" bestFit="1" customWidth="1"/>
    <col min="15886" max="16128" width="9.140625" style="1181"/>
    <col min="16129" max="16129" width="4.42578125" style="1181" customWidth="1"/>
    <col min="16130" max="16130" width="46.85546875" style="1181" customWidth="1"/>
    <col min="16131" max="16131" width="11.28515625" style="1181" bestFit="1" customWidth="1"/>
    <col min="16132" max="16132" width="11.42578125" style="1181" bestFit="1" customWidth="1"/>
    <col min="16133" max="16133" width="11.85546875" style="1181" customWidth="1"/>
    <col min="16134" max="16134" width="10" style="1181" customWidth="1"/>
    <col min="16135" max="16135" width="11.140625" style="1181" customWidth="1"/>
    <col min="16136" max="16136" width="10.28515625" style="1181" bestFit="1" customWidth="1"/>
    <col min="16137" max="16137" width="10.140625" style="1181" bestFit="1" customWidth="1"/>
    <col min="16138" max="16138" width="12" style="1181" bestFit="1" customWidth="1"/>
    <col min="16139" max="16139" width="14.28515625" style="1181" bestFit="1" customWidth="1"/>
    <col min="16140" max="16140" width="13.5703125" style="1181" bestFit="1" customWidth="1"/>
    <col min="16141" max="16141" width="13.85546875" style="1181" bestFit="1" customWidth="1"/>
    <col min="16142" max="16384" width="9.140625" style="1181"/>
  </cols>
  <sheetData>
    <row r="1" spans="1:13" s="1340" customFormat="1" ht="15">
      <c r="H1" s="1341"/>
      <c r="I1" s="1342"/>
      <c r="K1" s="1341"/>
    </row>
    <row r="2" spans="1:13" ht="51" customHeight="1">
      <c r="A2" s="1901" t="s">
        <v>157</v>
      </c>
      <c r="B2" s="1905" t="s">
        <v>1147</v>
      </c>
      <c r="C2" s="1901" t="s">
        <v>1121</v>
      </c>
      <c r="D2" s="1903" t="s">
        <v>1122</v>
      </c>
      <c r="E2" s="1894" t="s">
        <v>1123</v>
      </c>
      <c r="F2" s="1894" t="s">
        <v>1124</v>
      </c>
      <c r="G2" s="1894" t="s">
        <v>1125</v>
      </c>
      <c r="H2" s="1895" t="s">
        <v>1126</v>
      </c>
      <c r="I2" s="1897" t="s">
        <v>1127</v>
      </c>
      <c r="J2" s="1899" t="s">
        <v>1128</v>
      </c>
      <c r="K2" s="1890" t="s">
        <v>1129</v>
      </c>
      <c r="L2" s="1890" t="s">
        <v>909</v>
      </c>
      <c r="M2" s="1890" t="s">
        <v>1130</v>
      </c>
    </row>
    <row r="3" spans="1:13" ht="130.5" customHeight="1">
      <c r="A3" s="1902"/>
      <c r="B3" s="1901"/>
      <c r="C3" s="1901"/>
      <c r="D3" s="1904"/>
      <c r="E3" s="1894"/>
      <c r="F3" s="1894"/>
      <c r="G3" s="1894"/>
      <c r="H3" s="1896"/>
      <c r="I3" s="1898"/>
      <c r="J3" s="1900"/>
      <c r="K3" s="1891"/>
      <c r="L3" s="1891"/>
      <c r="M3" s="1891"/>
    </row>
    <row r="4" spans="1:13" ht="15">
      <c r="A4" s="1343"/>
      <c r="B4" s="1344"/>
      <c r="C4" s="1344">
        <v>1</v>
      </c>
      <c r="D4" s="1344">
        <f t="shared" ref="D4:M4" si="0">C4+1</f>
        <v>2</v>
      </c>
      <c r="E4" s="1344">
        <f t="shared" si="0"/>
        <v>3</v>
      </c>
      <c r="F4" s="1344">
        <f t="shared" si="0"/>
        <v>4</v>
      </c>
      <c r="G4" s="1344">
        <f t="shared" si="0"/>
        <v>5</v>
      </c>
      <c r="H4" s="1344">
        <f t="shared" si="0"/>
        <v>6</v>
      </c>
      <c r="I4" s="1344">
        <f t="shared" si="0"/>
        <v>7</v>
      </c>
      <c r="J4" s="1344">
        <f t="shared" si="0"/>
        <v>8</v>
      </c>
      <c r="K4" s="1344">
        <f t="shared" si="0"/>
        <v>9</v>
      </c>
      <c r="L4" s="1344">
        <f t="shared" si="0"/>
        <v>10</v>
      </c>
      <c r="M4" s="1344">
        <f t="shared" si="0"/>
        <v>11</v>
      </c>
    </row>
    <row r="5" spans="1:13" s="1350" customFormat="1" ht="43.5">
      <c r="A5" s="1343"/>
      <c r="B5" s="1344"/>
      <c r="C5" s="1345" t="s">
        <v>1148</v>
      </c>
      <c r="D5" s="1346" t="s">
        <v>1132</v>
      </c>
      <c r="E5" s="1346" t="s">
        <v>1133</v>
      </c>
      <c r="F5" s="1345" t="s">
        <v>1149</v>
      </c>
      <c r="G5" s="1345" t="s">
        <v>1150</v>
      </c>
      <c r="H5" s="1347" t="s">
        <v>1136</v>
      </c>
      <c r="I5" s="1348" t="s">
        <v>1137</v>
      </c>
      <c r="J5" s="1347" t="s">
        <v>1151</v>
      </c>
      <c r="K5" s="1349" t="s">
        <v>1139</v>
      </c>
      <c r="L5" s="1345" t="s">
        <v>1140</v>
      </c>
      <c r="M5" s="1345" t="s">
        <v>1141</v>
      </c>
    </row>
    <row r="6" spans="1:13" ht="14.25">
      <c r="A6" s="1186">
        <v>1</v>
      </c>
      <c r="B6" s="1186" t="s">
        <v>911</v>
      </c>
      <c r="C6" s="1351">
        <f>'Table 5C2 - LA Virtual Admy '!C5</f>
        <v>15</v>
      </c>
      <c r="D6" s="1351">
        <f>[14]Sheet1!$I5</f>
        <v>27</v>
      </c>
      <c r="E6" s="1352">
        <f>D6-C6</f>
        <v>12</v>
      </c>
      <c r="F6" s="1352">
        <f>IF(E6&gt;0,E6,0)</f>
        <v>12</v>
      </c>
      <c r="G6" s="1352">
        <f>IF(E6&lt;0,E6,0)</f>
        <v>0</v>
      </c>
      <c r="H6" s="1353">
        <f>'Table 5C2 - LA Virtual Admy '!D5</f>
        <v>4209.3</v>
      </c>
      <c r="I6" s="1353">
        <f>'Table 5C2 - LA Virtual Admy '!F5</f>
        <v>699.73200000000008</v>
      </c>
      <c r="J6" s="1353">
        <f>I6+H6</f>
        <v>4909.0320000000002</v>
      </c>
      <c r="K6" s="1354">
        <f>E6*J6</f>
        <v>58908.384000000005</v>
      </c>
      <c r="L6" s="1353">
        <f>IF(K6&gt;0,K6,0)</f>
        <v>58908.384000000005</v>
      </c>
      <c r="M6" s="1353">
        <f>IF(K6&lt;0,K6,0)</f>
        <v>0</v>
      </c>
    </row>
    <row r="7" spans="1:13" ht="14.25">
      <c r="A7" s="1186">
        <v>2</v>
      </c>
      <c r="B7" s="1186" t="s">
        <v>912</v>
      </c>
      <c r="C7" s="1351">
        <f>'Table 5C2 - LA Virtual Admy '!C6</f>
        <v>3</v>
      </c>
      <c r="D7" s="1351">
        <f>[14]Sheet1!$I6</f>
        <v>12</v>
      </c>
      <c r="E7" s="1352">
        <f t="shared" ref="E7:E70" si="1">D7-C7</f>
        <v>9</v>
      </c>
      <c r="F7" s="1352">
        <f t="shared" ref="F7:F70" si="2">IF(E7&gt;0,E7,0)</f>
        <v>9</v>
      </c>
      <c r="G7" s="1352">
        <f t="shared" ref="G7:G70" si="3">IF(E7&lt;0,E7,0)</f>
        <v>0</v>
      </c>
      <c r="H7" s="1353">
        <f>'Table 5C2 - LA Virtual Admy '!D6</f>
        <v>5444.7660898101512</v>
      </c>
      <c r="I7" s="1353">
        <f>'Table 5C2 - LA Virtual Admy '!F6</f>
        <v>758.08800000000008</v>
      </c>
      <c r="J7" s="1353">
        <f t="shared" ref="J7:J70" si="4">I7+H7</f>
        <v>6202.854089810151</v>
      </c>
      <c r="K7" s="1354">
        <f t="shared" ref="K7:K70" si="5">E7*J7</f>
        <v>55825.686808291357</v>
      </c>
      <c r="L7" s="1353">
        <f t="shared" ref="L7:L70" si="6">IF(K7&gt;0,K7,0)</f>
        <v>55825.686808291357</v>
      </c>
      <c r="M7" s="1353">
        <f t="shared" ref="M7:M70" si="7">IF(K7&lt;0,K7,0)</f>
        <v>0</v>
      </c>
    </row>
    <row r="8" spans="1:13" ht="14.25">
      <c r="A8" s="1186">
        <v>3</v>
      </c>
      <c r="B8" s="1186" t="s">
        <v>913</v>
      </c>
      <c r="C8" s="1351">
        <f>'Table 5C2 - LA Virtual Admy '!C7</f>
        <v>14</v>
      </c>
      <c r="D8" s="1355">
        <f>[14]Sheet1!$I7</f>
        <v>27</v>
      </c>
      <c r="E8" s="1352">
        <f t="shared" si="1"/>
        <v>13</v>
      </c>
      <c r="F8" s="1352">
        <f t="shared" si="2"/>
        <v>13</v>
      </c>
      <c r="G8" s="1352">
        <f t="shared" si="3"/>
        <v>0</v>
      </c>
      <c r="H8" s="1353">
        <f>'Table 5C2 - LA Virtual Admy '!D7</f>
        <v>3712.0903724597265</v>
      </c>
      <c r="I8" s="1356">
        <f>'Table 5C2 - LA Virtual Admy '!F7</f>
        <v>537.15600000000006</v>
      </c>
      <c r="J8" s="1356">
        <f t="shared" si="4"/>
        <v>4249.2463724597264</v>
      </c>
      <c r="K8" s="1354">
        <f t="shared" si="5"/>
        <v>55240.202841976447</v>
      </c>
      <c r="L8" s="1356">
        <f t="shared" si="6"/>
        <v>55240.202841976447</v>
      </c>
      <c r="M8" s="1356">
        <f t="shared" si="7"/>
        <v>0</v>
      </c>
    </row>
    <row r="9" spans="1:13" ht="14.25">
      <c r="A9" s="1186">
        <v>4</v>
      </c>
      <c r="B9" s="1186" t="s">
        <v>914</v>
      </c>
      <c r="C9" s="1351">
        <f>'Table 5C2 - LA Virtual Admy '!C8</f>
        <v>7</v>
      </c>
      <c r="D9" s="1355">
        <f>[14]Sheet1!$I8</f>
        <v>2</v>
      </c>
      <c r="E9" s="1352">
        <f t="shared" si="1"/>
        <v>-5</v>
      </c>
      <c r="F9" s="1352">
        <f t="shared" si="2"/>
        <v>0</v>
      </c>
      <c r="G9" s="1352">
        <f t="shared" si="3"/>
        <v>-5</v>
      </c>
      <c r="H9" s="1353">
        <f>'Table 5C2 - LA Virtual Admy '!D8</f>
        <v>5437.7563294083247</v>
      </c>
      <c r="I9" s="1356">
        <f>'Table 5C2 - LA Virtual Admy '!F8</f>
        <v>527.18399999999997</v>
      </c>
      <c r="J9" s="1356">
        <f t="shared" si="4"/>
        <v>5964.9403294083249</v>
      </c>
      <c r="K9" s="1354">
        <f t="shared" si="5"/>
        <v>-29824.701647041624</v>
      </c>
      <c r="L9" s="1356">
        <f t="shared" si="6"/>
        <v>0</v>
      </c>
      <c r="M9" s="1356">
        <f t="shared" si="7"/>
        <v>-29824.701647041624</v>
      </c>
    </row>
    <row r="10" spans="1:13" ht="14.25">
      <c r="A10" s="1192">
        <v>5</v>
      </c>
      <c r="B10" s="1192" t="s">
        <v>915</v>
      </c>
      <c r="C10" s="1357">
        <f>'Table 5C2 - LA Virtual Admy '!C9</f>
        <v>17</v>
      </c>
      <c r="D10" s="1358">
        <f>[14]Sheet1!$I9</f>
        <v>17</v>
      </c>
      <c r="E10" s="1359">
        <f t="shared" si="1"/>
        <v>0</v>
      </c>
      <c r="F10" s="1359">
        <f t="shared" si="2"/>
        <v>0</v>
      </c>
      <c r="G10" s="1359">
        <f t="shared" si="3"/>
        <v>0</v>
      </c>
      <c r="H10" s="1360">
        <f>'Table 5C2 - LA Virtual Admy '!D9</f>
        <v>4392.6597520963815</v>
      </c>
      <c r="I10" s="1361">
        <f>'Table 5C2 - LA Virtual Admy '!F9</f>
        <v>500.31899999999996</v>
      </c>
      <c r="J10" s="1361">
        <f t="shared" si="4"/>
        <v>4892.9787520963819</v>
      </c>
      <c r="K10" s="1362">
        <f t="shared" si="5"/>
        <v>0</v>
      </c>
      <c r="L10" s="1361">
        <f t="shared" si="6"/>
        <v>0</v>
      </c>
      <c r="M10" s="1361">
        <f t="shared" si="7"/>
        <v>0</v>
      </c>
    </row>
    <row r="11" spans="1:13" ht="14.25">
      <c r="A11" s="1186">
        <v>6</v>
      </c>
      <c r="B11" s="1186" t="s">
        <v>916</v>
      </c>
      <c r="C11" s="1351">
        <f>'Table 5C2 - LA Virtual Admy '!C10</f>
        <v>11</v>
      </c>
      <c r="D11" s="1351">
        <f>[14]Sheet1!$I10</f>
        <v>18</v>
      </c>
      <c r="E11" s="1352">
        <f t="shared" si="1"/>
        <v>7</v>
      </c>
      <c r="F11" s="1352">
        <f t="shared" si="2"/>
        <v>7</v>
      </c>
      <c r="G11" s="1352">
        <f t="shared" si="3"/>
        <v>0</v>
      </c>
      <c r="H11" s="1353">
        <f>'Table 5C2 - LA Virtual Admy '!D10</f>
        <v>5072.3139727898033</v>
      </c>
      <c r="I11" s="1353">
        <f>'Table 5C2 - LA Virtual Admy '!F10</f>
        <v>490.9319999999999</v>
      </c>
      <c r="J11" s="1353">
        <f t="shared" si="4"/>
        <v>5563.2459727898031</v>
      </c>
      <c r="K11" s="1354">
        <f t="shared" si="5"/>
        <v>38942.721809528623</v>
      </c>
      <c r="L11" s="1353">
        <f t="shared" si="6"/>
        <v>38942.721809528623</v>
      </c>
      <c r="M11" s="1353">
        <f t="shared" si="7"/>
        <v>0</v>
      </c>
    </row>
    <row r="12" spans="1:13" ht="14.25">
      <c r="A12" s="1186">
        <v>7</v>
      </c>
      <c r="B12" s="1186" t="s">
        <v>917</v>
      </c>
      <c r="C12" s="1351">
        <f>'Table 5C2 - LA Virtual Admy '!C11</f>
        <v>7</v>
      </c>
      <c r="D12" s="1351">
        <f>[14]Sheet1!$I11</f>
        <v>5</v>
      </c>
      <c r="E12" s="1352">
        <f t="shared" si="1"/>
        <v>-2</v>
      </c>
      <c r="F12" s="1352">
        <f t="shared" si="2"/>
        <v>0</v>
      </c>
      <c r="G12" s="1352">
        <f t="shared" si="3"/>
        <v>-2</v>
      </c>
      <c r="H12" s="1353">
        <f>'Table 5C2 - LA Virtual Admy '!D11</f>
        <v>1385.9737278509767</v>
      </c>
      <c r="I12" s="1353">
        <f>'Table 5C2 - LA Virtual Admy '!F11</f>
        <v>681.22799999999984</v>
      </c>
      <c r="J12" s="1353">
        <f t="shared" si="4"/>
        <v>2067.2017278509766</v>
      </c>
      <c r="K12" s="1354">
        <f t="shared" si="5"/>
        <v>-4134.4034557019531</v>
      </c>
      <c r="L12" s="1353">
        <f t="shared" si="6"/>
        <v>0</v>
      </c>
      <c r="M12" s="1353">
        <f t="shared" si="7"/>
        <v>-4134.4034557019531</v>
      </c>
    </row>
    <row r="13" spans="1:13" ht="14.25">
      <c r="A13" s="1186">
        <v>8</v>
      </c>
      <c r="B13" s="1186" t="s">
        <v>918</v>
      </c>
      <c r="C13" s="1351">
        <f>'Table 5C2 - LA Virtual Admy '!C12</f>
        <v>51</v>
      </c>
      <c r="D13" s="1355">
        <f>[14]Sheet1!$I12</f>
        <v>55</v>
      </c>
      <c r="E13" s="1352">
        <f t="shared" si="1"/>
        <v>4</v>
      </c>
      <c r="F13" s="1352">
        <f t="shared" si="2"/>
        <v>4</v>
      </c>
      <c r="G13" s="1352">
        <f t="shared" si="3"/>
        <v>0</v>
      </c>
      <c r="H13" s="1353">
        <f>'Table 5C2 - LA Virtual Admy '!D12</f>
        <v>3601.2056558252466</v>
      </c>
      <c r="I13" s="1356">
        <f>'Table 5C2 - LA Virtual Admy '!F12</f>
        <v>653.18399999999997</v>
      </c>
      <c r="J13" s="1356">
        <f t="shared" si="4"/>
        <v>4254.3896558252463</v>
      </c>
      <c r="K13" s="1354">
        <f t="shared" si="5"/>
        <v>17017.558623300985</v>
      </c>
      <c r="L13" s="1356">
        <f t="shared" si="6"/>
        <v>17017.558623300985</v>
      </c>
      <c r="M13" s="1356">
        <f t="shared" si="7"/>
        <v>0</v>
      </c>
    </row>
    <row r="14" spans="1:13" ht="14.25">
      <c r="A14" s="1186">
        <v>9</v>
      </c>
      <c r="B14" s="1186" t="s">
        <v>919</v>
      </c>
      <c r="C14" s="1355">
        <f>'Table 5C2 - LA Virtual Admy '!C13</f>
        <v>90</v>
      </c>
      <c r="D14" s="1355">
        <f>[14]Sheet1!$I13</f>
        <v>98</v>
      </c>
      <c r="E14" s="1352">
        <f t="shared" si="1"/>
        <v>8</v>
      </c>
      <c r="F14" s="1352">
        <f t="shared" si="2"/>
        <v>8</v>
      </c>
      <c r="G14" s="1352">
        <f t="shared" si="3"/>
        <v>0</v>
      </c>
      <c r="H14" s="1356">
        <f>'Table 5C2 - LA Virtual Admy '!D13</f>
        <v>3946.4201542979081</v>
      </c>
      <c r="I14" s="1356">
        <f>'Table 5C2 - LA Virtual Admy '!F13</f>
        <v>670.28399999999999</v>
      </c>
      <c r="J14" s="1356">
        <f t="shared" si="4"/>
        <v>4616.7041542979077</v>
      </c>
      <c r="K14" s="1354">
        <f t="shared" si="5"/>
        <v>36933.633234383262</v>
      </c>
      <c r="L14" s="1365">
        <f t="shared" si="6"/>
        <v>36933.633234383262</v>
      </c>
      <c r="M14" s="1365">
        <f t="shared" si="7"/>
        <v>0</v>
      </c>
    </row>
    <row r="15" spans="1:13" ht="14.25">
      <c r="A15" s="1192">
        <v>10</v>
      </c>
      <c r="B15" s="1192" t="s">
        <v>686</v>
      </c>
      <c r="C15" s="1358">
        <f>'Table 5C2 - LA Virtual Admy '!C14</f>
        <v>62</v>
      </c>
      <c r="D15" s="1358">
        <f>[14]Sheet1!$I14</f>
        <v>63</v>
      </c>
      <c r="E15" s="1359">
        <f t="shared" si="1"/>
        <v>1</v>
      </c>
      <c r="F15" s="1359">
        <f t="shared" si="2"/>
        <v>1</v>
      </c>
      <c r="G15" s="1359">
        <f t="shared" si="3"/>
        <v>0</v>
      </c>
      <c r="H15" s="1361">
        <f>'Table 5C2 - LA Virtual Admy '!D14</f>
        <v>3880.929874751208</v>
      </c>
      <c r="I15" s="1361">
        <f>'Table 5C2 - LA Virtual Admy '!F14</f>
        <v>547.2360000000001</v>
      </c>
      <c r="J15" s="1361">
        <f t="shared" si="4"/>
        <v>4428.1658747512083</v>
      </c>
      <c r="K15" s="1362">
        <f t="shared" si="5"/>
        <v>4428.1658747512083</v>
      </c>
      <c r="L15" s="1366">
        <f t="shared" si="6"/>
        <v>4428.1658747512083</v>
      </c>
      <c r="M15" s="1366">
        <f t="shared" si="7"/>
        <v>0</v>
      </c>
    </row>
    <row r="16" spans="1:13" ht="14.25">
      <c r="A16" s="1186">
        <v>11</v>
      </c>
      <c r="B16" s="1186" t="s">
        <v>920</v>
      </c>
      <c r="C16" s="1355">
        <f>'Table 5C2 - LA Virtual Admy '!C15</f>
        <v>1</v>
      </c>
      <c r="D16" s="1351">
        <f>[14]Sheet1!$I15</f>
        <v>3</v>
      </c>
      <c r="E16" s="1352">
        <f t="shared" si="1"/>
        <v>2</v>
      </c>
      <c r="F16" s="1352">
        <f t="shared" si="2"/>
        <v>2</v>
      </c>
      <c r="G16" s="1352">
        <f t="shared" si="3"/>
        <v>0</v>
      </c>
      <c r="H16" s="1353">
        <f>'Table 5C2 - LA Virtual Admy '!D15</f>
        <v>6000.6277483637386</v>
      </c>
      <c r="I16" s="1353">
        <f>'Table 5C2 - LA Virtual Admy '!F15</f>
        <v>635.89499999999998</v>
      </c>
      <c r="J16" s="1353">
        <f t="shared" si="4"/>
        <v>6636.5227483637391</v>
      </c>
      <c r="K16" s="1354">
        <f t="shared" si="5"/>
        <v>13273.045496727478</v>
      </c>
      <c r="L16" s="1365">
        <f t="shared" si="6"/>
        <v>13273.045496727478</v>
      </c>
      <c r="M16" s="1365">
        <f t="shared" si="7"/>
        <v>0</v>
      </c>
    </row>
    <row r="17" spans="1:13" ht="14.25">
      <c r="A17" s="1186">
        <v>12</v>
      </c>
      <c r="B17" s="1186" t="s">
        <v>921</v>
      </c>
      <c r="C17" s="1355">
        <f>'Table 5C2 - LA Virtual Admy '!C16</f>
        <v>1</v>
      </c>
      <c r="D17" s="1351">
        <f>[14]Sheet1!$I16</f>
        <v>0</v>
      </c>
      <c r="E17" s="1352">
        <f t="shared" si="1"/>
        <v>-1</v>
      </c>
      <c r="F17" s="1352">
        <f t="shared" si="2"/>
        <v>0</v>
      </c>
      <c r="G17" s="1352">
        <f t="shared" si="3"/>
        <v>-1</v>
      </c>
      <c r="H17" s="1353">
        <f>'Table 5C2 - LA Virtual Admy '!D16</f>
        <v>1463.8737701612904</v>
      </c>
      <c r="I17" s="1353">
        <f>'Table 5C2 - LA Virtual Admy '!F16</f>
        <v>956.97899999999993</v>
      </c>
      <c r="J17" s="1353">
        <f t="shared" si="4"/>
        <v>2420.8527701612902</v>
      </c>
      <c r="K17" s="1354">
        <f t="shared" si="5"/>
        <v>-2420.8527701612902</v>
      </c>
      <c r="L17" s="1365">
        <f t="shared" si="6"/>
        <v>0</v>
      </c>
      <c r="M17" s="1365">
        <f t="shared" si="7"/>
        <v>-2420.8527701612902</v>
      </c>
    </row>
    <row r="18" spans="1:13" ht="14.25">
      <c r="A18" s="1186">
        <v>13</v>
      </c>
      <c r="B18" s="1186" t="s">
        <v>922</v>
      </c>
      <c r="C18" s="1355">
        <f>'Table 5C2 - LA Virtual Admy '!C17</f>
        <v>5</v>
      </c>
      <c r="D18" s="1355">
        <f>[14]Sheet1!$I17</f>
        <v>8</v>
      </c>
      <c r="E18" s="1352">
        <f t="shared" si="1"/>
        <v>3</v>
      </c>
      <c r="F18" s="1352">
        <f t="shared" si="2"/>
        <v>3</v>
      </c>
      <c r="G18" s="1352">
        <f t="shared" si="3"/>
        <v>0</v>
      </c>
      <c r="H18" s="1356">
        <f>'Table 5C2 - LA Virtual Admy '!D17</f>
        <v>5378.4402697520791</v>
      </c>
      <c r="I18" s="1356">
        <f>'Table 5C2 - LA Virtual Admy '!F17</f>
        <v>674.48700000000008</v>
      </c>
      <c r="J18" s="1356">
        <f t="shared" si="4"/>
        <v>6052.9272697520792</v>
      </c>
      <c r="K18" s="1354">
        <f t="shared" si="5"/>
        <v>18158.781809256237</v>
      </c>
      <c r="L18" s="1365">
        <f t="shared" si="6"/>
        <v>18158.781809256237</v>
      </c>
      <c r="M18" s="1365">
        <f t="shared" si="7"/>
        <v>0</v>
      </c>
    </row>
    <row r="19" spans="1:13" ht="14.25">
      <c r="A19" s="1186">
        <v>14</v>
      </c>
      <c r="B19" s="1186" t="s">
        <v>923</v>
      </c>
      <c r="C19" s="1355">
        <f>'Table 5C2 - LA Virtual Admy '!C18</f>
        <v>2</v>
      </c>
      <c r="D19" s="1355">
        <f>[14]Sheet1!$I18</f>
        <v>4</v>
      </c>
      <c r="E19" s="1352">
        <f t="shared" si="1"/>
        <v>2</v>
      </c>
      <c r="F19" s="1352">
        <f t="shared" si="2"/>
        <v>2</v>
      </c>
      <c r="G19" s="1352">
        <f t="shared" si="3"/>
        <v>0</v>
      </c>
      <c r="H19" s="1356">
        <f>'Table 5C2 - LA Virtual Admy '!D18</f>
        <v>5174.0803150666798</v>
      </c>
      <c r="I19" s="1356">
        <f>'Table 5C2 - LA Virtual Admy '!F18</f>
        <v>728.98199999999997</v>
      </c>
      <c r="J19" s="1356">
        <f t="shared" si="4"/>
        <v>5903.0623150666797</v>
      </c>
      <c r="K19" s="1354">
        <f t="shared" si="5"/>
        <v>11806.124630133359</v>
      </c>
      <c r="L19" s="1365">
        <f t="shared" si="6"/>
        <v>11806.124630133359</v>
      </c>
      <c r="M19" s="1365">
        <f t="shared" si="7"/>
        <v>0</v>
      </c>
    </row>
    <row r="20" spans="1:13" ht="14.25">
      <c r="A20" s="1192">
        <v>15</v>
      </c>
      <c r="B20" s="1192" t="s">
        <v>924</v>
      </c>
      <c r="C20" s="1358">
        <f>'Table 5C2 - LA Virtual Admy '!C19</f>
        <v>4</v>
      </c>
      <c r="D20" s="1358">
        <f>[14]Sheet1!$I19</f>
        <v>3</v>
      </c>
      <c r="E20" s="1359">
        <f t="shared" si="1"/>
        <v>-1</v>
      </c>
      <c r="F20" s="1359">
        <f t="shared" si="2"/>
        <v>0</v>
      </c>
      <c r="G20" s="1359">
        <f t="shared" si="3"/>
        <v>-1</v>
      </c>
      <c r="H20" s="1361">
        <f>'Table 5C2 - LA Virtual Admy '!D19</f>
        <v>4858.7192769100766</v>
      </c>
      <c r="I20" s="1361">
        <f>'Table 5C2 - LA Virtual Admy '!F19</f>
        <v>498.41999999999996</v>
      </c>
      <c r="J20" s="1361">
        <f t="shared" si="4"/>
        <v>5357.1392769100767</v>
      </c>
      <c r="K20" s="1362">
        <f t="shared" si="5"/>
        <v>-5357.1392769100767</v>
      </c>
      <c r="L20" s="1366">
        <f t="shared" si="6"/>
        <v>0</v>
      </c>
      <c r="M20" s="1366">
        <f t="shared" si="7"/>
        <v>-5357.1392769100767</v>
      </c>
    </row>
    <row r="21" spans="1:13" ht="14.25">
      <c r="A21" s="1186">
        <v>16</v>
      </c>
      <c r="B21" s="1186" t="s">
        <v>925</v>
      </c>
      <c r="C21" s="1367">
        <f>'Table 5C2 - LA Virtual Admy '!C20</f>
        <v>7</v>
      </c>
      <c r="D21" s="1351">
        <f>[14]Sheet1!$I20</f>
        <v>16</v>
      </c>
      <c r="E21" s="1352">
        <f t="shared" si="1"/>
        <v>9</v>
      </c>
      <c r="F21" s="1352">
        <f t="shared" si="2"/>
        <v>9</v>
      </c>
      <c r="G21" s="1352">
        <f t="shared" si="3"/>
        <v>0</v>
      </c>
      <c r="H21" s="1353">
        <f>'Table 5C2 - LA Virtual Admy '!D20</f>
        <v>1361.8761225144324</v>
      </c>
      <c r="I21" s="1353">
        <f>'Table 5C2 - LA Virtual Admy '!F20</f>
        <v>618.05700000000002</v>
      </c>
      <c r="J21" s="1353">
        <f t="shared" si="4"/>
        <v>1979.9331225144324</v>
      </c>
      <c r="K21" s="1354">
        <f t="shared" si="5"/>
        <v>17819.398102629893</v>
      </c>
      <c r="L21" s="1365">
        <f t="shared" si="6"/>
        <v>17819.398102629893</v>
      </c>
      <c r="M21" s="1365">
        <f t="shared" si="7"/>
        <v>0</v>
      </c>
    </row>
    <row r="22" spans="1:13" ht="14.25">
      <c r="A22" s="1186">
        <v>17</v>
      </c>
      <c r="B22" s="1186" t="s">
        <v>639</v>
      </c>
      <c r="C22" s="1355">
        <f>'Table 5C2 - LA Virtual Admy '!C21</f>
        <v>71</v>
      </c>
      <c r="D22" s="1355">
        <f>[14]Sheet1!$I21</f>
        <v>80</v>
      </c>
      <c r="E22" s="1352">
        <f t="shared" si="1"/>
        <v>9</v>
      </c>
      <c r="F22" s="1352">
        <f t="shared" si="2"/>
        <v>9</v>
      </c>
      <c r="G22" s="1352">
        <f t="shared" si="3"/>
        <v>0</v>
      </c>
      <c r="H22" s="1356">
        <f>'Table 5C2 - LA Virtual Admy '!D21</f>
        <v>2940.1220784729112</v>
      </c>
      <c r="I22" s="1356">
        <f>'Table 5C2 - LA Virtual Admy '!F21</f>
        <v>721.32986175126121</v>
      </c>
      <c r="J22" s="1356">
        <f t="shared" si="4"/>
        <v>3661.4519402241722</v>
      </c>
      <c r="K22" s="1354">
        <f t="shared" si="5"/>
        <v>32953.067462017549</v>
      </c>
      <c r="L22" s="1365">
        <f t="shared" si="6"/>
        <v>32953.067462017549</v>
      </c>
      <c r="M22" s="1365">
        <f t="shared" si="7"/>
        <v>0</v>
      </c>
    </row>
    <row r="23" spans="1:13" ht="14.25">
      <c r="A23" s="1186">
        <v>18</v>
      </c>
      <c r="B23" s="1186" t="s">
        <v>926</v>
      </c>
      <c r="C23" s="1355">
        <f>'Table 5C2 - LA Virtual Admy '!C22</f>
        <v>3</v>
      </c>
      <c r="D23" s="1355">
        <f>[14]Sheet1!$I22</f>
        <v>1</v>
      </c>
      <c r="E23" s="1352">
        <f t="shared" si="1"/>
        <v>-2</v>
      </c>
      <c r="F23" s="1352">
        <f t="shared" si="2"/>
        <v>0</v>
      </c>
      <c r="G23" s="1352">
        <f t="shared" si="3"/>
        <v>-2</v>
      </c>
      <c r="H23" s="1356">
        <f>'Table 5C2 - LA Virtual Admy '!D22</f>
        <v>5192.4109119662935</v>
      </c>
      <c r="I23" s="1356">
        <f>'Table 5C2 - LA Virtual Admy '!F22</f>
        <v>761.3549999999999</v>
      </c>
      <c r="J23" s="1356">
        <f t="shared" si="4"/>
        <v>5953.7659119662931</v>
      </c>
      <c r="K23" s="1354">
        <f t="shared" si="5"/>
        <v>-11907.531823932586</v>
      </c>
      <c r="L23" s="1365">
        <f t="shared" si="6"/>
        <v>0</v>
      </c>
      <c r="M23" s="1365">
        <f t="shared" si="7"/>
        <v>-11907.531823932586</v>
      </c>
    </row>
    <row r="24" spans="1:13" ht="14.25">
      <c r="A24" s="1186">
        <v>19</v>
      </c>
      <c r="B24" s="1186" t="s">
        <v>927</v>
      </c>
      <c r="C24" s="1355">
        <f>'Table 5C2 - LA Virtual Admy '!C23</f>
        <v>5</v>
      </c>
      <c r="D24" s="1355">
        <f>[14]Sheet1!$I23</f>
        <v>7</v>
      </c>
      <c r="E24" s="1352">
        <f t="shared" si="1"/>
        <v>2</v>
      </c>
      <c r="F24" s="1352">
        <f t="shared" si="2"/>
        <v>2</v>
      </c>
      <c r="G24" s="1352">
        <f t="shared" si="3"/>
        <v>0</v>
      </c>
      <c r="H24" s="1356">
        <f>'Table 5C2 - LA Virtual Admy '!D23</f>
        <v>4683.746652806537</v>
      </c>
      <c r="I24" s="1356">
        <f>'Table 5C2 - LA Virtual Admy '!F23</f>
        <v>814.88699999999994</v>
      </c>
      <c r="J24" s="1356">
        <f t="shared" si="4"/>
        <v>5498.6336528065367</v>
      </c>
      <c r="K24" s="1354">
        <f t="shared" si="5"/>
        <v>10997.267305613073</v>
      </c>
      <c r="L24" s="1365">
        <f t="shared" si="6"/>
        <v>10997.267305613073</v>
      </c>
      <c r="M24" s="1365">
        <f t="shared" si="7"/>
        <v>0</v>
      </c>
    </row>
    <row r="25" spans="1:13" ht="14.25">
      <c r="A25" s="1192">
        <v>20</v>
      </c>
      <c r="B25" s="1192" t="s">
        <v>928</v>
      </c>
      <c r="C25" s="1358">
        <f>'Table 5C2 - LA Virtual Admy '!C24</f>
        <v>5</v>
      </c>
      <c r="D25" s="1358">
        <f>[14]Sheet1!$I24</f>
        <v>4</v>
      </c>
      <c r="E25" s="1359">
        <f t="shared" si="1"/>
        <v>-1</v>
      </c>
      <c r="F25" s="1359">
        <f t="shared" si="2"/>
        <v>0</v>
      </c>
      <c r="G25" s="1359">
        <f t="shared" si="3"/>
        <v>-1</v>
      </c>
      <c r="H25" s="1361">
        <f>'Table 5C2 - LA Virtual Admy '!D24</f>
        <v>4894.3760417440953</v>
      </c>
      <c r="I25" s="1361">
        <f>'Table 5C2 - LA Virtual Admy '!F24</f>
        <v>527.553</v>
      </c>
      <c r="J25" s="1361">
        <f t="shared" si="4"/>
        <v>5421.9290417440952</v>
      </c>
      <c r="K25" s="1362">
        <f t="shared" si="5"/>
        <v>-5421.9290417440952</v>
      </c>
      <c r="L25" s="1366">
        <f t="shared" si="6"/>
        <v>0</v>
      </c>
      <c r="M25" s="1366">
        <f t="shared" si="7"/>
        <v>-5421.9290417440952</v>
      </c>
    </row>
    <row r="26" spans="1:13" ht="14.25">
      <c r="A26" s="1186">
        <v>21</v>
      </c>
      <c r="B26" s="1186" t="s">
        <v>929</v>
      </c>
      <c r="C26" s="1355">
        <f>'Table 5C2 - LA Virtual Admy '!C25</f>
        <v>14</v>
      </c>
      <c r="D26" s="1351">
        <f>[14]Sheet1!$I25</f>
        <v>0</v>
      </c>
      <c r="E26" s="1352">
        <f t="shared" si="1"/>
        <v>-14</v>
      </c>
      <c r="F26" s="1352">
        <f t="shared" si="2"/>
        <v>0</v>
      </c>
      <c r="G26" s="1352">
        <f t="shared" si="3"/>
        <v>-14</v>
      </c>
      <c r="H26" s="1353">
        <f>'Table 5C2 - LA Virtual Admy '!D25</f>
        <v>5057.195413422467</v>
      </c>
      <c r="I26" s="1353">
        <f>'Table 5C2 - LA Virtual Admy '!F25</f>
        <v>549.31500000000005</v>
      </c>
      <c r="J26" s="1353">
        <f t="shared" si="4"/>
        <v>5606.5104134224675</v>
      </c>
      <c r="K26" s="1354">
        <f t="shared" si="5"/>
        <v>-78491.145787914546</v>
      </c>
      <c r="L26" s="1365">
        <f t="shared" si="6"/>
        <v>0</v>
      </c>
      <c r="M26" s="1365">
        <f t="shared" si="7"/>
        <v>-78491.145787914546</v>
      </c>
    </row>
    <row r="27" spans="1:13" ht="14.25">
      <c r="A27" s="1186">
        <v>22</v>
      </c>
      <c r="B27" s="1186" t="s">
        <v>930</v>
      </c>
      <c r="C27" s="1355">
        <f>'Table 5C2 - LA Virtual Admy '!C26</f>
        <v>1</v>
      </c>
      <c r="D27" s="1351">
        <f>[14]Sheet1!$I26</f>
        <v>1</v>
      </c>
      <c r="E27" s="1352">
        <f t="shared" si="1"/>
        <v>0</v>
      </c>
      <c r="F27" s="1352">
        <f t="shared" si="2"/>
        <v>0</v>
      </c>
      <c r="G27" s="1352">
        <f t="shared" si="3"/>
        <v>0</v>
      </c>
      <c r="H27" s="1353">
        <f>'Table 5C2 - LA Virtual Admy '!D26</f>
        <v>5567.6280255898364</v>
      </c>
      <c r="I27" s="1353">
        <f>'Table 5C2 - LA Virtual Admy '!F26</f>
        <v>446.72400000000005</v>
      </c>
      <c r="J27" s="1353">
        <f t="shared" si="4"/>
        <v>6014.3520255898366</v>
      </c>
      <c r="K27" s="1354">
        <f t="shared" si="5"/>
        <v>0</v>
      </c>
      <c r="L27" s="1365">
        <f t="shared" si="6"/>
        <v>0</v>
      </c>
      <c r="M27" s="1365">
        <f t="shared" si="7"/>
        <v>0</v>
      </c>
    </row>
    <row r="28" spans="1:13" ht="14.25">
      <c r="A28" s="1186">
        <v>23</v>
      </c>
      <c r="B28" s="1186" t="s">
        <v>931</v>
      </c>
      <c r="C28" s="1355">
        <f>'Table 5C2 - LA Virtual Admy '!C27</f>
        <v>5</v>
      </c>
      <c r="D28" s="1355">
        <f>[14]Sheet1!$I27</f>
        <v>7</v>
      </c>
      <c r="E28" s="1352">
        <f t="shared" si="1"/>
        <v>2</v>
      </c>
      <c r="F28" s="1352">
        <f t="shared" si="2"/>
        <v>2</v>
      </c>
      <c r="G28" s="1352">
        <f t="shared" si="3"/>
        <v>0</v>
      </c>
      <c r="H28" s="1356">
        <f>'Table 5C2 - LA Virtual Admy '!D27</f>
        <v>4346.3787333311848</v>
      </c>
      <c r="I28" s="1356">
        <f>'Table 5C2 - LA Virtual Admy '!F27</f>
        <v>619.72200000000009</v>
      </c>
      <c r="J28" s="1356">
        <f t="shared" si="4"/>
        <v>4966.1007333311845</v>
      </c>
      <c r="K28" s="1354">
        <f t="shared" si="5"/>
        <v>9932.2014666623691</v>
      </c>
      <c r="L28" s="1365">
        <f t="shared" si="6"/>
        <v>9932.2014666623691</v>
      </c>
      <c r="M28" s="1365">
        <f t="shared" si="7"/>
        <v>0</v>
      </c>
    </row>
    <row r="29" spans="1:13" ht="14.25">
      <c r="A29" s="1186">
        <v>24</v>
      </c>
      <c r="B29" s="1186" t="s">
        <v>932</v>
      </c>
      <c r="C29" s="1355">
        <f>'Table 5C2 - LA Virtual Admy '!C28</f>
        <v>2</v>
      </c>
      <c r="D29" s="1355">
        <f>[14]Sheet1!$I28</f>
        <v>5</v>
      </c>
      <c r="E29" s="1352">
        <f t="shared" si="1"/>
        <v>3</v>
      </c>
      <c r="F29" s="1352">
        <f t="shared" si="2"/>
        <v>3</v>
      </c>
      <c r="G29" s="1352">
        <f t="shared" si="3"/>
        <v>0</v>
      </c>
      <c r="H29" s="1356">
        <f>'Table 5C2 - LA Virtual Admy '!D28</f>
        <v>2245.1024261844818</v>
      </c>
      <c r="I29" s="1356">
        <f>'Table 5C2 - LA Virtual Admy '!F28</f>
        <v>768.82499999999993</v>
      </c>
      <c r="J29" s="1356">
        <f t="shared" si="4"/>
        <v>3013.9274261844816</v>
      </c>
      <c r="K29" s="1354">
        <f t="shared" si="5"/>
        <v>9041.7822785534445</v>
      </c>
      <c r="L29" s="1365">
        <f t="shared" si="6"/>
        <v>9041.7822785534445</v>
      </c>
      <c r="M29" s="1365">
        <f t="shared" si="7"/>
        <v>0</v>
      </c>
    </row>
    <row r="30" spans="1:13" ht="14.25">
      <c r="A30" s="1192">
        <v>25</v>
      </c>
      <c r="B30" s="1192" t="s">
        <v>933</v>
      </c>
      <c r="C30" s="1358">
        <f>'Table 5C2 - LA Virtual Admy '!C29</f>
        <v>4</v>
      </c>
      <c r="D30" s="1358">
        <f>[14]Sheet1!$I29</f>
        <v>12</v>
      </c>
      <c r="E30" s="1359">
        <f t="shared" si="1"/>
        <v>8</v>
      </c>
      <c r="F30" s="1359">
        <f t="shared" si="2"/>
        <v>8</v>
      </c>
      <c r="G30" s="1359">
        <f t="shared" si="3"/>
        <v>0</v>
      </c>
      <c r="H30" s="1361">
        <f>'Table 5C2 - LA Virtual Admy '!D29</f>
        <v>3300.5809626555911</v>
      </c>
      <c r="I30" s="1361">
        <f>'Table 5C2 - LA Virtual Admy '!F29</f>
        <v>588.35700000000008</v>
      </c>
      <c r="J30" s="1361">
        <f t="shared" si="4"/>
        <v>3888.937962655591</v>
      </c>
      <c r="K30" s="1362">
        <f t="shared" si="5"/>
        <v>31111.503701244728</v>
      </c>
      <c r="L30" s="1366">
        <f t="shared" si="6"/>
        <v>31111.503701244728</v>
      </c>
      <c r="M30" s="1366">
        <f t="shared" si="7"/>
        <v>0</v>
      </c>
    </row>
    <row r="31" spans="1:13" ht="14.25">
      <c r="A31" s="1186">
        <v>26</v>
      </c>
      <c r="B31" s="1186" t="s">
        <v>663</v>
      </c>
      <c r="C31" s="1355">
        <f>'Table 5C2 - LA Virtual Admy '!C30</f>
        <v>94</v>
      </c>
      <c r="D31" s="1351">
        <f>[14]Sheet1!$I30</f>
        <v>89</v>
      </c>
      <c r="E31" s="1352">
        <f t="shared" si="1"/>
        <v>-5</v>
      </c>
      <c r="F31" s="1352">
        <f t="shared" si="2"/>
        <v>0</v>
      </c>
      <c r="G31" s="1352">
        <f t="shared" si="3"/>
        <v>-5</v>
      </c>
      <c r="H31" s="1353">
        <f>'Table 5C2 - LA Virtual Admy '!D30</f>
        <v>2835.3131108817151</v>
      </c>
      <c r="I31" s="1353">
        <f>'Table 5C2 - LA Virtual Admy '!F30</f>
        <v>753.14700000000005</v>
      </c>
      <c r="J31" s="1353">
        <f t="shared" si="4"/>
        <v>3588.4601108817151</v>
      </c>
      <c r="K31" s="1354">
        <f t="shared" si="5"/>
        <v>-17942.300554408575</v>
      </c>
      <c r="L31" s="1365">
        <f t="shared" si="6"/>
        <v>0</v>
      </c>
      <c r="M31" s="1365">
        <f t="shared" si="7"/>
        <v>-17942.300554408575</v>
      </c>
    </row>
    <row r="32" spans="1:13" ht="14.25">
      <c r="A32" s="1186">
        <v>27</v>
      </c>
      <c r="B32" s="1186" t="s">
        <v>934</v>
      </c>
      <c r="C32" s="1355">
        <f>'Table 5C2 - LA Virtual Admy '!C31</f>
        <v>9</v>
      </c>
      <c r="D32" s="1351">
        <f>[14]Sheet1!$I31</f>
        <v>2</v>
      </c>
      <c r="E32" s="1352">
        <f t="shared" si="1"/>
        <v>-7</v>
      </c>
      <c r="F32" s="1352">
        <f t="shared" si="2"/>
        <v>0</v>
      </c>
      <c r="G32" s="1352">
        <f t="shared" si="3"/>
        <v>-7</v>
      </c>
      <c r="H32" s="1353">
        <f>'Table 5C2 - LA Virtual Admy '!D31</f>
        <v>5143.5016903089836</v>
      </c>
      <c r="I32" s="1353">
        <f>'Table 5C2 - LA Virtual Admy '!F31</f>
        <v>623.75400000000002</v>
      </c>
      <c r="J32" s="1353">
        <f t="shared" si="4"/>
        <v>5767.2556903089835</v>
      </c>
      <c r="K32" s="1354">
        <f t="shared" si="5"/>
        <v>-40370.789832162882</v>
      </c>
      <c r="L32" s="1365">
        <f t="shared" si="6"/>
        <v>0</v>
      </c>
      <c r="M32" s="1365">
        <f t="shared" si="7"/>
        <v>-40370.789832162882</v>
      </c>
    </row>
    <row r="33" spans="1:13" ht="14.25">
      <c r="A33" s="1186">
        <v>28</v>
      </c>
      <c r="B33" s="1186" t="s">
        <v>935</v>
      </c>
      <c r="C33" s="1355">
        <f>'Table 5C2 - LA Virtual Admy '!C32</f>
        <v>41</v>
      </c>
      <c r="D33" s="1355">
        <f>[14]Sheet1!$I32</f>
        <v>57</v>
      </c>
      <c r="E33" s="1352">
        <f t="shared" si="1"/>
        <v>16</v>
      </c>
      <c r="F33" s="1352">
        <f t="shared" si="2"/>
        <v>16</v>
      </c>
      <c r="G33" s="1352">
        <f t="shared" si="3"/>
        <v>0</v>
      </c>
      <c r="H33" s="1356">
        <f>'Table 5C2 - LA Virtual Admy '!D32</f>
        <v>3030.6109760091736</v>
      </c>
      <c r="I33" s="1356">
        <f>'Table 5C2 - LA Virtual Admy '!F32</f>
        <v>624.96</v>
      </c>
      <c r="J33" s="1356">
        <f t="shared" si="4"/>
        <v>3655.5709760091736</v>
      </c>
      <c r="K33" s="1354">
        <f t="shared" si="5"/>
        <v>58489.135616146777</v>
      </c>
      <c r="L33" s="1365">
        <f t="shared" si="6"/>
        <v>58489.135616146777</v>
      </c>
      <c r="M33" s="1365">
        <f t="shared" si="7"/>
        <v>0</v>
      </c>
    </row>
    <row r="34" spans="1:13" ht="14.25">
      <c r="A34" s="1186">
        <v>29</v>
      </c>
      <c r="B34" s="1186" t="s">
        <v>936</v>
      </c>
      <c r="C34" s="1355">
        <f>'Table 5C2 - LA Virtual Admy '!C33</f>
        <v>15</v>
      </c>
      <c r="D34" s="1355">
        <f>[14]Sheet1!$I33</f>
        <v>21</v>
      </c>
      <c r="E34" s="1352">
        <f t="shared" si="1"/>
        <v>6</v>
      </c>
      <c r="F34" s="1352">
        <f t="shared" si="2"/>
        <v>6</v>
      </c>
      <c r="G34" s="1352">
        <f t="shared" si="3"/>
        <v>0</v>
      </c>
      <c r="H34" s="1356">
        <f>'Table 5C2 - LA Virtual Admy '!D33</f>
        <v>3779.8345012024251</v>
      </c>
      <c r="I34" s="1356">
        <f>'Table 5C2 - LA Virtual Admy '!F33</f>
        <v>679.45499999999993</v>
      </c>
      <c r="J34" s="1356">
        <f t="shared" si="4"/>
        <v>4459.2895012024255</v>
      </c>
      <c r="K34" s="1354">
        <f t="shared" si="5"/>
        <v>26755.737007214553</v>
      </c>
      <c r="L34" s="1365">
        <f t="shared" si="6"/>
        <v>26755.737007214553</v>
      </c>
      <c r="M34" s="1365">
        <f t="shared" si="7"/>
        <v>0</v>
      </c>
    </row>
    <row r="35" spans="1:13" ht="14.25">
      <c r="A35" s="1192">
        <v>30</v>
      </c>
      <c r="B35" s="1192" t="s">
        <v>937</v>
      </c>
      <c r="C35" s="1358">
        <f>'Table 5C2 - LA Virtual Admy '!C34</f>
        <v>4</v>
      </c>
      <c r="D35" s="1358">
        <f>[14]Sheet1!$I34</f>
        <v>3</v>
      </c>
      <c r="E35" s="1359">
        <f t="shared" si="1"/>
        <v>-1</v>
      </c>
      <c r="F35" s="1359">
        <f t="shared" si="2"/>
        <v>0</v>
      </c>
      <c r="G35" s="1359">
        <f t="shared" si="3"/>
        <v>-1</v>
      </c>
      <c r="H35" s="1361">
        <f>'Table 5C2 - LA Virtual Admy '!D34</f>
        <v>5203.3716856082956</v>
      </c>
      <c r="I35" s="1361">
        <f>'Table 5C2 - LA Virtual Admy '!F34</f>
        <v>654.45299999999997</v>
      </c>
      <c r="J35" s="1361">
        <f t="shared" si="4"/>
        <v>5857.8246856082951</v>
      </c>
      <c r="K35" s="1362">
        <f t="shared" si="5"/>
        <v>-5857.8246856082951</v>
      </c>
      <c r="L35" s="1366">
        <f t="shared" si="6"/>
        <v>0</v>
      </c>
      <c r="M35" s="1366">
        <f t="shared" si="7"/>
        <v>-5857.8246856082951</v>
      </c>
    </row>
    <row r="36" spans="1:13" ht="14.25">
      <c r="A36" s="1186">
        <v>31</v>
      </c>
      <c r="B36" s="1186" t="s">
        <v>654</v>
      </c>
      <c r="C36" s="1355">
        <f>'Table 5C2 - LA Virtual Admy '!C35</f>
        <v>4</v>
      </c>
      <c r="D36" s="1351">
        <f>[14]Sheet1!$I35</f>
        <v>4</v>
      </c>
      <c r="E36" s="1352">
        <f t="shared" si="1"/>
        <v>0</v>
      </c>
      <c r="F36" s="1352">
        <f t="shared" si="2"/>
        <v>0</v>
      </c>
      <c r="G36" s="1352">
        <f t="shared" si="3"/>
        <v>0</v>
      </c>
      <c r="H36" s="1353">
        <f>'Table 5C2 - LA Virtual Admy '!D35</f>
        <v>3809.5955572598205</v>
      </c>
      <c r="I36" s="1353">
        <f>'Table 5C2 - LA Virtual Admy '!F35</f>
        <v>558.74700000000007</v>
      </c>
      <c r="J36" s="1353">
        <f t="shared" si="4"/>
        <v>4368.3425572598208</v>
      </c>
      <c r="K36" s="1354">
        <f t="shared" si="5"/>
        <v>0</v>
      </c>
      <c r="L36" s="1365">
        <f t="shared" si="6"/>
        <v>0</v>
      </c>
      <c r="M36" s="1365">
        <f t="shared" si="7"/>
        <v>0</v>
      </c>
    </row>
    <row r="37" spans="1:13" ht="14.25">
      <c r="A37" s="1186">
        <v>32</v>
      </c>
      <c r="B37" s="1186" t="s">
        <v>640</v>
      </c>
      <c r="C37" s="1355">
        <f>'Table 5C2 - LA Virtual Admy '!C36</f>
        <v>29</v>
      </c>
      <c r="D37" s="1351">
        <f>[14]Sheet1!$I36</f>
        <v>35</v>
      </c>
      <c r="E37" s="1352">
        <f t="shared" si="1"/>
        <v>6</v>
      </c>
      <c r="F37" s="1352">
        <f t="shared" si="2"/>
        <v>6</v>
      </c>
      <c r="G37" s="1352">
        <f t="shared" si="3"/>
        <v>0</v>
      </c>
      <c r="H37" s="1353">
        <f>'Table 5C2 - LA Virtual Admy '!D36</f>
        <v>4878.1056037962908</v>
      </c>
      <c r="I37" s="1353">
        <f>'Table 5C2 - LA Virtual Admy '!F36</f>
        <v>503.79300000000001</v>
      </c>
      <c r="J37" s="1353">
        <f t="shared" si="4"/>
        <v>5381.8986037962904</v>
      </c>
      <c r="K37" s="1354">
        <f t="shared" si="5"/>
        <v>32291.391622777744</v>
      </c>
      <c r="L37" s="1365">
        <f t="shared" si="6"/>
        <v>32291.391622777744</v>
      </c>
      <c r="M37" s="1365">
        <f t="shared" si="7"/>
        <v>0</v>
      </c>
    </row>
    <row r="38" spans="1:13" ht="14.25">
      <c r="A38" s="1186">
        <v>33</v>
      </c>
      <c r="B38" s="1186" t="s">
        <v>938</v>
      </c>
      <c r="C38" s="1355">
        <f>'Table 5C2 - LA Virtual Admy '!C37</f>
        <v>5</v>
      </c>
      <c r="D38" s="1355">
        <f>[14]Sheet1!$I37</f>
        <v>3</v>
      </c>
      <c r="E38" s="1352">
        <f t="shared" si="1"/>
        <v>-2</v>
      </c>
      <c r="F38" s="1352">
        <f t="shared" si="2"/>
        <v>0</v>
      </c>
      <c r="G38" s="1352">
        <f t="shared" si="3"/>
        <v>-2</v>
      </c>
      <c r="H38" s="1356">
        <f>'Table 5C2 - LA Virtual Admy '!D37</f>
        <v>5150.6824273781667</v>
      </c>
      <c r="I38" s="1356">
        <f>'Table 5C2 - LA Virtual Admy '!F37</f>
        <v>589.77900000000011</v>
      </c>
      <c r="J38" s="1356">
        <f t="shared" si="4"/>
        <v>5740.4614273781672</v>
      </c>
      <c r="K38" s="1354">
        <f t="shared" si="5"/>
        <v>-11480.922854756334</v>
      </c>
      <c r="L38" s="1365">
        <f t="shared" si="6"/>
        <v>0</v>
      </c>
      <c r="M38" s="1365">
        <f t="shared" si="7"/>
        <v>-11480.922854756334</v>
      </c>
    </row>
    <row r="39" spans="1:13" ht="14.25">
      <c r="A39" s="1186">
        <v>34</v>
      </c>
      <c r="B39" s="1186" t="s">
        <v>939</v>
      </c>
      <c r="C39" s="1355">
        <f>'Table 5C2 - LA Virtual Admy '!C38</f>
        <v>9</v>
      </c>
      <c r="D39" s="1355">
        <f>[14]Sheet1!$I38</f>
        <v>15</v>
      </c>
      <c r="E39" s="1352">
        <f t="shared" si="1"/>
        <v>6</v>
      </c>
      <c r="F39" s="1352">
        <f t="shared" si="2"/>
        <v>6</v>
      </c>
      <c r="G39" s="1352">
        <f t="shared" si="3"/>
        <v>0</v>
      </c>
      <c r="H39" s="1356">
        <f>'Table 5C2 - LA Virtual Admy '!D38</f>
        <v>5188.309170721649</v>
      </c>
      <c r="I39" s="1356">
        <f>'Table 5C2 - LA Virtual Admy '!F38</f>
        <v>579.69900000000018</v>
      </c>
      <c r="J39" s="1356">
        <f t="shared" si="4"/>
        <v>5768.0081707216495</v>
      </c>
      <c r="K39" s="1354">
        <f t="shared" si="5"/>
        <v>34608.049024329899</v>
      </c>
      <c r="L39" s="1365">
        <f t="shared" si="6"/>
        <v>34608.049024329899</v>
      </c>
      <c r="M39" s="1365">
        <f t="shared" si="7"/>
        <v>0</v>
      </c>
    </row>
    <row r="40" spans="1:13" ht="14.25">
      <c r="A40" s="1192">
        <v>35</v>
      </c>
      <c r="B40" s="1192" t="s">
        <v>940</v>
      </c>
      <c r="C40" s="1358">
        <f>'Table 5C2 - LA Virtual Admy '!C39</f>
        <v>9</v>
      </c>
      <c r="D40" s="1358">
        <f>[14]Sheet1!$I39</f>
        <v>11</v>
      </c>
      <c r="E40" s="1359">
        <f t="shared" si="1"/>
        <v>2</v>
      </c>
      <c r="F40" s="1359">
        <f t="shared" si="2"/>
        <v>2</v>
      </c>
      <c r="G40" s="1359">
        <f t="shared" si="3"/>
        <v>0</v>
      </c>
      <c r="H40" s="1361">
        <f>'Table 5C2 - LA Virtual Admy '!D39</f>
        <v>4468.1274864201305</v>
      </c>
      <c r="I40" s="1361">
        <f>'Table 5C2 - LA Virtual Admy '!F39</f>
        <v>484.16400000000004</v>
      </c>
      <c r="J40" s="1361">
        <f t="shared" si="4"/>
        <v>4952.2914864201302</v>
      </c>
      <c r="K40" s="1362">
        <f t="shared" si="5"/>
        <v>9904.5829728402605</v>
      </c>
      <c r="L40" s="1366">
        <f t="shared" si="6"/>
        <v>9904.5829728402605</v>
      </c>
      <c r="M40" s="1366">
        <f t="shared" si="7"/>
        <v>0</v>
      </c>
    </row>
    <row r="41" spans="1:13" ht="14.25">
      <c r="A41" s="1186">
        <v>36</v>
      </c>
      <c r="B41" s="1186" t="s">
        <v>662</v>
      </c>
      <c r="C41" s="1355">
        <f>'Table 5C2 - LA Virtual Admy '!C40</f>
        <v>70</v>
      </c>
      <c r="D41" s="1355">
        <f>[14]Sheet1!$I40</f>
        <v>81</v>
      </c>
      <c r="E41" s="1352">
        <f t="shared" si="1"/>
        <v>11</v>
      </c>
      <c r="F41" s="1352">
        <f t="shared" si="2"/>
        <v>11</v>
      </c>
      <c r="G41" s="1352">
        <f t="shared" si="3"/>
        <v>0</v>
      </c>
      <c r="H41" s="1356">
        <f>'Table 5C2 - LA Virtual Admy '!D40</f>
        <v>2926.8243863744597</v>
      </c>
      <c r="I41" s="1356">
        <f>'Table 5C2 - LA Virtual Admy '!F40</f>
        <v>671.43020547945218</v>
      </c>
      <c r="J41" s="1356">
        <f t="shared" si="4"/>
        <v>3598.2545918539117</v>
      </c>
      <c r="K41" s="1354">
        <f t="shared" si="5"/>
        <v>39580.800510393026</v>
      </c>
      <c r="L41" s="1365">
        <f t="shared" si="6"/>
        <v>39580.800510393026</v>
      </c>
      <c r="M41" s="1365">
        <f t="shared" si="7"/>
        <v>0</v>
      </c>
    </row>
    <row r="42" spans="1:13" ht="14.25">
      <c r="A42" s="1186">
        <v>37</v>
      </c>
      <c r="B42" s="1186" t="s">
        <v>653</v>
      </c>
      <c r="C42" s="1351">
        <f>'Table 5C2 - LA Virtual Admy '!C41</f>
        <v>23</v>
      </c>
      <c r="D42" s="1351">
        <f>[14]Sheet1!$I41</f>
        <v>18</v>
      </c>
      <c r="E42" s="1352">
        <f t="shared" si="1"/>
        <v>-5</v>
      </c>
      <c r="F42" s="1352">
        <f t="shared" si="2"/>
        <v>0</v>
      </c>
      <c r="G42" s="1352">
        <f t="shared" si="3"/>
        <v>-5</v>
      </c>
      <c r="H42" s="1353">
        <f>'Table 5C2 - LA Virtual Admy '!D41</f>
        <v>4924.8804762576674</v>
      </c>
      <c r="I42" s="1353">
        <f>'Table 5C2 - LA Virtual Admy '!F41</f>
        <v>588.24900000000002</v>
      </c>
      <c r="J42" s="1353">
        <f t="shared" si="4"/>
        <v>5513.1294762576672</v>
      </c>
      <c r="K42" s="1354">
        <f t="shared" si="5"/>
        <v>-27565.647381288334</v>
      </c>
      <c r="L42" s="1365">
        <f t="shared" si="6"/>
        <v>0</v>
      </c>
      <c r="M42" s="1365">
        <f t="shared" si="7"/>
        <v>-27565.647381288334</v>
      </c>
    </row>
    <row r="43" spans="1:13" ht="14.25">
      <c r="A43" s="1186">
        <v>38</v>
      </c>
      <c r="B43" s="1186" t="s">
        <v>673</v>
      </c>
      <c r="C43" s="1351">
        <f>'Table 5C2 - LA Virtual Admy '!C42</f>
        <v>5</v>
      </c>
      <c r="D43" s="1355">
        <f>[14]Sheet1!$I42</f>
        <v>5</v>
      </c>
      <c r="E43" s="1352">
        <f t="shared" si="1"/>
        <v>0</v>
      </c>
      <c r="F43" s="1352">
        <f t="shared" si="2"/>
        <v>0</v>
      </c>
      <c r="G43" s="1352">
        <f t="shared" si="3"/>
        <v>0</v>
      </c>
      <c r="H43" s="1353">
        <f>'Table 5C2 - LA Virtual Admy '!D42</f>
        <v>2156.9024476931331</v>
      </c>
      <c r="I43" s="1353">
        <f>'Table 5C2 - LA Virtual Admy '!F42</f>
        <v>746.92800000000011</v>
      </c>
      <c r="J43" s="1356">
        <f t="shared" si="4"/>
        <v>2903.8304476931335</v>
      </c>
      <c r="K43" s="1354">
        <f t="shared" si="5"/>
        <v>0</v>
      </c>
      <c r="L43" s="1365">
        <f t="shared" si="6"/>
        <v>0</v>
      </c>
      <c r="M43" s="1365">
        <f t="shared" si="7"/>
        <v>0</v>
      </c>
    </row>
    <row r="44" spans="1:13" ht="14.25">
      <c r="A44" s="1186">
        <v>39</v>
      </c>
      <c r="B44" s="1186" t="s">
        <v>941</v>
      </c>
      <c r="C44" s="1355">
        <f>'Table 5C2 - LA Virtual Admy '!C43</f>
        <v>4</v>
      </c>
      <c r="D44" s="1355">
        <f>[14]Sheet1!$I43</f>
        <v>9</v>
      </c>
      <c r="E44" s="1352">
        <f t="shared" si="1"/>
        <v>5</v>
      </c>
      <c r="F44" s="1352">
        <f t="shared" si="2"/>
        <v>5</v>
      </c>
      <c r="G44" s="1352">
        <f t="shared" si="3"/>
        <v>0</v>
      </c>
      <c r="H44" s="1356">
        <f>'Table 5C2 - LA Virtual Admy '!D43</f>
        <v>3271.7738389265178</v>
      </c>
      <c r="I44" s="1356">
        <f>'Table 5C2 - LA Virtual Admy '!F43</f>
        <v>701.69015738498797</v>
      </c>
      <c r="J44" s="1356">
        <f t="shared" si="4"/>
        <v>3973.463996311506</v>
      </c>
      <c r="K44" s="1354">
        <f t="shared" si="5"/>
        <v>19867.319981557528</v>
      </c>
      <c r="L44" s="1365">
        <f t="shared" si="6"/>
        <v>19867.319981557528</v>
      </c>
      <c r="M44" s="1365">
        <f t="shared" si="7"/>
        <v>0</v>
      </c>
    </row>
    <row r="45" spans="1:13" ht="14.25">
      <c r="A45" s="1192">
        <v>40</v>
      </c>
      <c r="B45" s="1192" t="s">
        <v>942</v>
      </c>
      <c r="C45" s="1358">
        <f>'Table 5C2 - LA Virtual Admy '!C44</f>
        <v>30</v>
      </c>
      <c r="D45" s="1358">
        <f>[14]Sheet1!$I44</f>
        <v>31</v>
      </c>
      <c r="E45" s="1359">
        <f t="shared" si="1"/>
        <v>1</v>
      </c>
      <c r="F45" s="1359">
        <f t="shared" si="2"/>
        <v>1</v>
      </c>
      <c r="G45" s="1359">
        <f t="shared" si="3"/>
        <v>0</v>
      </c>
      <c r="H45" s="1361">
        <f>'Table 5C2 - LA Virtual Admy '!D44</f>
        <v>4318.8915815212367</v>
      </c>
      <c r="I45" s="1361">
        <f>'Table 5C2 - LA Virtual Admy '!F44</f>
        <v>630.24300000000005</v>
      </c>
      <c r="J45" s="1361">
        <f t="shared" si="4"/>
        <v>4949.1345815212371</v>
      </c>
      <c r="K45" s="1362">
        <f t="shared" si="5"/>
        <v>4949.1345815212371</v>
      </c>
      <c r="L45" s="1366">
        <f t="shared" si="6"/>
        <v>4949.1345815212371</v>
      </c>
      <c r="M45" s="1366">
        <f t="shared" si="7"/>
        <v>0</v>
      </c>
    </row>
    <row r="46" spans="1:13" ht="14.25">
      <c r="A46" s="1186">
        <v>41</v>
      </c>
      <c r="B46" s="1186" t="s">
        <v>943</v>
      </c>
      <c r="C46" s="1355">
        <f>'Table 5C2 - LA Virtual Admy '!C45</f>
        <v>6</v>
      </c>
      <c r="D46" s="1351">
        <f>[14]Sheet1!$I45</f>
        <v>3</v>
      </c>
      <c r="E46" s="1352">
        <f t="shared" si="1"/>
        <v>-3</v>
      </c>
      <c r="F46" s="1352">
        <f t="shared" si="2"/>
        <v>0</v>
      </c>
      <c r="G46" s="1352">
        <f t="shared" si="3"/>
        <v>-3</v>
      </c>
      <c r="H46" s="1353">
        <f>'Table 5C2 - LA Virtual Admy '!D45</f>
        <v>2023.0154811715481</v>
      </c>
      <c r="I46" s="1353">
        <f>'Table 5C2 - LA Virtual Admy '!F45</f>
        <v>797.59800000000007</v>
      </c>
      <c r="J46" s="1353">
        <f t="shared" si="4"/>
        <v>2820.6134811715483</v>
      </c>
      <c r="K46" s="1354">
        <f t="shared" si="5"/>
        <v>-8461.840443514644</v>
      </c>
      <c r="L46" s="1365">
        <f t="shared" si="6"/>
        <v>0</v>
      </c>
      <c r="M46" s="1365">
        <f t="shared" si="7"/>
        <v>-8461.840443514644</v>
      </c>
    </row>
    <row r="47" spans="1:13" ht="14.25">
      <c r="A47" s="1186">
        <v>42</v>
      </c>
      <c r="B47" s="1186" t="s">
        <v>944</v>
      </c>
      <c r="C47" s="1355">
        <f>'Table 5C2 - LA Virtual Admy '!C46</f>
        <v>13</v>
      </c>
      <c r="D47" s="1351">
        <f>[14]Sheet1!$I46</f>
        <v>13</v>
      </c>
      <c r="E47" s="1352">
        <f t="shared" si="1"/>
        <v>0</v>
      </c>
      <c r="F47" s="1352">
        <f t="shared" si="2"/>
        <v>0</v>
      </c>
      <c r="G47" s="1352">
        <f t="shared" si="3"/>
        <v>0</v>
      </c>
      <c r="H47" s="1353">
        <f>'Table 5C2 - LA Virtual Admy '!D46</f>
        <v>4950.977089527617</v>
      </c>
      <c r="I47" s="1353">
        <f>'Table 5C2 - LA Virtual Admy '!F46</f>
        <v>480.85199999999998</v>
      </c>
      <c r="J47" s="1353">
        <f t="shared" si="4"/>
        <v>5431.8290895276168</v>
      </c>
      <c r="K47" s="1354">
        <f t="shared" si="5"/>
        <v>0</v>
      </c>
      <c r="L47" s="1365">
        <f t="shared" si="6"/>
        <v>0</v>
      </c>
      <c r="M47" s="1365">
        <f t="shared" si="7"/>
        <v>0</v>
      </c>
    </row>
    <row r="48" spans="1:13" ht="14.25">
      <c r="A48" s="1186">
        <v>43</v>
      </c>
      <c r="B48" s="1186" t="s">
        <v>945</v>
      </c>
      <c r="C48" s="1355">
        <f>'Table 5C2 - LA Virtual Admy '!C47</f>
        <v>7</v>
      </c>
      <c r="D48" s="1355">
        <f>[14]Sheet1!$I47</f>
        <v>14</v>
      </c>
      <c r="E48" s="1352">
        <f t="shared" si="1"/>
        <v>7</v>
      </c>
      <c r="F48" s="1352">
        <f t="shared" si="2"/>
        <v>7</v>
      </c>
      <c r="G48" s="1352">
        <f t="shared" si="3"/>
        <v>0</v>
      </c>
      <c r="H48" s="1356">
        <f>'Table 5C2 - LA Virtual Admy '!D47</f>
        <v>5366.323998911892</v>
      </c>
      <c r="I48" s="1356">
        <f>'Table 5C2 - LA Virtual Admy '!F47</f>
        <v>517.14899999999989</v>
      </c>
      <c r="J48" s="1356">
        <f t="shared" si="4"/>
        <v>5883.4729989118914</v>
      </c>
      <c r="K48" s="1354">
        <f t="shared" si="5"/>
        <v>41184.310992383238</v>
      </c>
      <c r="L48" s="1365">
        <f t="shared" si="6"/>
        <v>41184.310992383238</v>
      </c>
      <c r="M48" s="1365">
        <f t="shared" si="7"/>
        <v>0</v>
      </c>
    </row>
    <row r="49" spans="1:13" ht="14.25">
      <c r="A49" s="1186">
        <v>44</v>
      </c>
      <c r="B49" s="1186" t="s">
        <v>664</v>
      </c>
      <c r="C49" s="1355">
        <f>'Table 5C2 - LA Virtual Admy '!C48</f>
        <v>10</v>
      </c>
      <c r="D49" s="1355">
        <f>[14]Sheet1!$I48</f>
        <v>5</v>
      </c>
      <c r="E49" s="1352">
        <f t="shared" si="1"/>
        <v>-5</v>
      </c>
      <c r="F49" s="1352">
        <f t="shared" si="2"/>
        <v>0</v>
      </c>
      <c r="G49" s="1352">
        <f t="shared" si="3"/>
        <v>-5</v>
      </c>
      <c r="H49" s="1356">
        <f>'Table 5C2 - LA Virtual Admy '!D48</f>
        <v>3921.5191182073468</v>
      </c>
      <c r="I49" s="1356">
        <f>'Table 5C2 - LA Virtual Admy '!F48</f>
        <v>596.84400000000005</v>
      </c>
      <c r="J49" s="1356">
        <f t="shared" si="4"/>
        <v>4518.3631182073468</v>
      </c>
      <c r="K49" s="1354">
        <f t="shared" si="5"/>
        <v>-22591.815591036735</v>
      </c>
      <c r="L49" s="1365">
        <f t="shared" si="6"/>
        <v>0</v>
      </c>
      <c r="M49" s="1365">
        <f t="shared" si="7"/>
        <v>-22591.815591036735</v>
      </c>
    </row>
    <row r="50" spans="1:13" ht="14.25">
      <c r="A50" s="1192">
        <v>45</v>
      </c>
      <c r="B50" s="1192" t="s">
        <v>665</v>
      </c>
      <c r="C50" s="1358">
        <f>'Table 5C2 - LA Virtual Admy '!C49</f>
        <v>9</v>
      </c>
      <c r="D50" s="1358">
        <f>[14]Sheet1!$I49</f>
        <v>2</v>
      </c>
      <c r="E50" s="1359">
        <f t="shared" si="1"/>
        <v>-7</v>
      </c>
      <c r="F50" s="1359">
        <f t="shared" si="2"/>
        <v>0</v>
      </c>
      <c r="G50" s="1359">
        <f t="shared" si="3"/>
        <v>-7</v>
      </c>
      <c r="H50" s="1361">
        <f>'Table 5C2 - LA Virtual Admy '!D49</f>
        <v>2187.4313891834572</v>
      </c>
      <c r="I50" s="1361">
        <f>'Table 5C2 - LA Virtual Admy '!F49</f>
        <v>678.56400000000019</v>
      </c>
      <c r="J50" s="1361">
        <f t="shared" si="4"/>
        <v>2865.9953891834575</v>
      </c>
      <c r="K50" s="1362">
        <f t="shared" si="5"/>
        <v>-20061.967724284201</v>
      </c>
      <c r="L50" s="1366">
        <f t="shared" si="6"/>
        <v>0</v>
      </c>
      <c r="M50" s="1366">
        <f t="shared" si="7"/>
        <v>-20061.967724284201</v>
      </c>
    </row>
    <row r="51" spans="1:13" ht="14.25">
      <c r="A51" s="1186">
        <v>46</v>
      </c>
      <c r="B51" s="1186" t="s">
        <v>946</v>
      </c>
      <c r="C51" s="1355">
        <f>'Table 5C2 - LA Virtual Admy '!C50</f>
        <v>6</v>
      </c>
      <c r="D51" s="1351">
        <f>[14]Sheet1!$I50</f>
        <v>4</v>
      </c>
      <c r="E51" s="1352">
        <f t="shared" si="1"/>
        <v>-2</v>
      </c>
      <c r="F51" s="1352">
        <f t="shared" si="2"/>
        <v>0</v>
      </c>
      <c r="G51" s="1352">
        <f t="shared" si="3"/>
        <v>-2</v>
      </c>
      <c r="H51" s="1356">
        <f>'Table 5C2 - LA Virtual Admy '!D50</f>
        <v>5221.8999089820491</v>
      </c>
      <c r="I51" s="1356">
        <f>'Table 5C2 - LA Virtual Admy '!F50</f>
        <v>655.25400000000002</v>
      </c>
      <c r="J51" s="1353">
        <f t="shared" si="4"/>
        <v>5877.153908982049</v>
      </c>
      <c r="K51" s="1354">
        <f t="shared" si="5"/>
        <v>-11754.307817964098</v>
      </c>
      <c r="L51" s="1365">
        <f t="shared" si="6"/>
        <v>0</v>
      </c>
      <c r="M51" s="1365">
        <f t="shared" si="7"/>
        <v>-11754.307817964098</v>
      </c>
    </row>
    <row r="52" spans="1:13" ht="14.25">
      <c r="A52" s="1186">
        <v>47</v>
      </c>
      <c r="B52" s="1186" t="s">
        <v>947</v>
      </c>
      <c r="C52" s="1351">
        <f>'Table 5C2 - LA Virtual Admy '!C51</f>
        <v>5</v>
      </c>
      <c r="D52" s="1351">
        <f>[14]Sheet1!$I51</f>
        <v>4</v>
      </c>
      <c r="E52" s="1352">
        <f t="shared" si="1"/>
        <v>-1</v>
      </c>
      <c r="F52" s="1352">
        <f t="shared" si="2"/>
        <v>0</v>
      </c>
      <c r="G52" s="1352">
        <f t="shared" si="3"/>
        <v>-1</v>
      </c>
      <c r="H52" s="1353">
        <f>'Table 5C2 - LA Virtual Admy '!D51</f>
        <v>3098.1307624872338</v>
      </c>
      <c r="I52" s="1353">
        <f>'Table 5C2 - LA Virtual Admy '!F51</f>
        <v>819.68399999999997</v>
      </c>
      <c r="J52" s="1353">
        <f t="shared" si="4"/>
        <v>3917.8147624872336</v>
      </c>
      <c r="K52" s="1354">
        <f t="shared" si="5"/>
        <v>-3917.8147624872336</v>
      </c>
      <c r="L52" s="1365">
        <f t="shared" si="6"/>
        <v>0</v>
      </c>
      <c r="M52" s="1365">
        <f t="shared" si="7"/>
        <v>-3917.8147624872336</v>
      </c>
    </row>
    <row r="53" spans="1:13" ht="14.25">
      <c r="A53" s="1186">
        <v>48</v>
      </c>
      <c r="B53" s="1186" t="s">
        <v>948</v>
      </c>
      <c r="C53" s="1351">
        <f>'Table 5C2 - LA Virtual Admy '!C52</f>
        <v>14</v>
      </c>
      <c r="D53" s="1355">
        <f>[14]Sheet1!$I52</f>
        <v>10</v>
      </c>
      <c r="E53" s="1352">
        <f t="shared" si="1"/>
        <v>-4</v>
      </c>
      <c r="F53" s="1352">
        <f t="shared" si="2"/>
        <v>0</v>
      </c>
      <c r="G53" s="1352">
        <f t="shared" si="3"/>
        <v>-4</v>
      </c>
      <c r="H53" s="1356">
        <f>'Table 5C2 - LA Virtual Admy '!D52</f>
        <v>3116.6706997342021</v>
      </c>
      <c r="I53" s="1356">
        <f>'Table 5C2 - LA Virtual Admy '!F52</f>
        <v>783.96300000000008</v>
      </c>
      <c r="J53" s="1356">
        <f t="shared" si="4"/>
        <v>3900.6336997342023</v>
      </c>
      <c r="K53" s="1354">
        <f t="shared" si="5"/>
        <v>-15602.534798936809</v>
      </c>
      <c r="L53" s="1365">
        <f t="shared" si="6"/>
        <v>0</v>
      </c>
      <c r="M53" s="1365">
        <f t="shared" si="7"/>
        <v>-15602.534798936809</v>
      </c>
    </row>
    <row r="54" spans="1:13" ht="14.25">
      <c r="A54" s="1186">
        <v>49</v>
      </c>
      <c r="B54" s="1186" t="s">
        <v>949</v>
      </c>
      <c r="C54" s="1351">
        <f>'Table 5C2 - LA Virtual Admy '!C53</f>
        <v>36</v>
      </c>
      <c r="D54" s="1355">
        <f>[14]Sheet1!$I53</f>
        <v>46</v>
      </c>
      <c r="E54" s="1352">
        <f t="shared" si="1"/>
        <v>10</v>
      </c>
      <c r="F54" s="1352">
        <f t="shared" si="2"/>
        <v>10</v>
      </c>
      <c r="G54" s="1352">
        <f t="shared" si="3"/>
        <v>0</v>
      </c>
      <c r="H54" s="1356">
        <f>'Table 5C2 - LA Virtual Admy '!D53</f>
        <v>4382.8223958618019</v>
      </c>
      <c r="I54" s="1356">
        <f>'Table 5C2 - LA Virtual Admy '!F53</f>
        <v>516.99599999999998</v>
      </c>
      <c r="J54" s="1356">
        <f t="shared" si="4"/>
        <v>4899.8183958618019</v>
      </c>
      <c r="K54" s="1354">
        <f t="shared" si="5"/>
        <v>48998.183958618021</v>
      </c>
      <c r="L54" s="1365">
        <f t="shared" si="6"/>
        <v>48998.183958618021</v>
      </c>
      <c r="M54" s="1365">
        <f t="shared" si="7"/>
        <v>0</v>
      </c>
    </row>
    <row r="55" spans="1:13" ht="14.25">
      <c r="A55" s="1192">
        <v>50</v>
      </c>
      <c r="B55" s="1192" t="s">
        <v>950</v>
      </c>
      <c r="C55" s="1357">
        <f>'Table 5C2 - LA Virtual Admy '!C54</f>
        <v>10</v>
      </c>
      <c r="D55" s="1358">
        <f>[14]Sheet1!$I54</f>
        <v>11</v>
      </c>
      <c r="E55" s="1359">
        <f t="shared" si="1"/>
        <v>1</v>
      </c>
      <c r="F55" s="1359">
        <f t="shared" si="2"/>
        <v>1</v>
      </c>
      <c r="G55" s="1359">
        <f t="shared" si="3"/>
        <v>0</v>
      </c>
      <c r="H55" s="1361">
        <f>'Table 5C2 - LA Virtual Admy '!D54</f>
        <v>4559.7314595568487</v>
      </c>
      <c r="I55" s="1361">
        <f>'Table 5C2 - LA Virtual Admy '!F54</f>
        <v>571.01400000000001</v>
      </c>
      <c r="J55" s="1361">
        <f t="shared" si="4"/>
        <v>5130.7454595568488</v>
      </c>
      <c r="K55" s="1362">
        <f t="shared" si="5"/>
        <v>5130.7454595568488</v>
      </c>
      <c r="L55" s="1366">
        <f t="shared" si="6"/>
        <v>5130.7454595568488</v>
      </c>
      <c r="M55" s="1366">
        <f t="shared" si="7"/>
        <v>0</v>
      </c>
    </row>
    <row r="56" spans="1:13" ht="14.25">
      <c r="A56" s="1186">
        <v>51</v>
      </c>
      <c r="B56" s="1186" t="s">
        <v>951</v>
      </c>
      <c r="C56" s="1351">
        <f>'Table 5C2 - LA Virtual Admy '!C55</f>
        <v>5</v>
      </c>
      <c r="D56" s="1351">
        <f>[14]Sheet1!$I55</f>
        <v>13</v>
      </c>
      <c r="E56" s="1352">
        <f t="shared" si="1"/>
        <v>8</v>
      </c>
      <c r="F56" s="1352">
        <f t="shared" si="2"/>
        <v>8</v>
      </c>
      <c r="G56" s="1352">
        <f t="shared" si="3"/>
        <v>0</v>
      </c>
      <c r="H56" s="1353">
        <f>'Table 5C2 - LA Virtual Admy '!D55</f>
        <v>4084.7188881585589</v>
      </c>
      <c r="I56" s="1353">
        <f>'Table 5C2 - LA Virtual Admy '!F55</f>
        <v>635.99400000000003</v>
      </c>
      <c r="J56" s="1353">
        <f t="shared" si="4"/>
        <v>4720.7128881585586</v>
      </c>
      <c r="K56" s="1354">
        <f t="shared" si="5"/>
        <v>37765.703105268469</v>
      </c>
      <c r="L56" s="1365">
        <f t="shared" si="6"/>
        <v>37765.703105268469</v>
      </c>
      <c r="M56" s="1365">
        <f t="shared" si="7"/>
        <v>0</v>
      </c>
    </row>
    <row r="57" spans="1:13" ht="14.25">
      <c r="A57" s="1186">
        <v>52</v>
      </c>
      <c r="B57" s="1186" t="s">
        <v>667</v>
      </c>
      <c r="C57" s="1351">
        <f>'Table 5C2 - LA Virtual Admy '!C56</f>
        <v>70</v>
      </c>
      <c r="D57" s="1351">
        <f>[14]Sheet1!$I56</f>
        <v>71</v>
      </c>
      <c r="E57" s="1352">
        <f t="shared" si="1"/>
        <v>1</v>
      </c>
      <c r="F57" s="1352">
        <f t="shared" si="2"/>
        <v>1</v>
      </c>
      <c r="G57" s="1352">
        <f t="shared" si="3"/>
        <v>0</v>
      </c>
      <c r="H57" s="1353">
        <f>'Table 5C2 - LA Virtual Admy '!D56</f>
        <v>4487.571353437329</v>
      </c>
      <c r="I57" s="1353">
        <f>'Table 5C2 - LA Virtual Admy '!F56</f>
        <v>592.53300000000002</v>
      </c>
      <c r="J57" s="1353">
        <f t="shared" si="4"/>
        <v>5080.1043534373293</v>
      </c>
      <c r="K57" s="1354">
        <f t="shared" si="5"/>
        <v>5080.1043534373293</v>
      </c>
      <c r="L57" s="1365">
        <f t="shared" si="6"/>
        <v>5080.1043534373293</v>
      </c>
      <c r="M57" s="1365">
        <f t="shared" si="7"/>
        <v>0</v>
      </c>
    </row>
    <row r="58" spans="1:13" ht="14.25">
      <c r="A58" s="1186">
        <v>53</v>
      </c>
      <c r="B58" s="1186" t="s">
        <v>952</v>
      </c>
      <c r="C58" s="1351">
        <f>'Table 5C2 - LA Virtual Admy '!C57</f>
        <v>61</v>
      </c>
      <c r="D58" s="1355">
        <f>[14]Sheet1!$I57</f>
        <v>54</v>
      </c>
      <c r="E58" s="1352">
        <f t="shared" si="1"/>
        <v>-7</v>
      </c>
      <c r="F58" s="1352">
        <f t="shared" si="2"/>
        <v>0</v>
      </c>
      <c r="G58" s="1352">
        <f t="shared" si="3"/>
        <v>-7</v>
      </c>
      <c r="H58" s="1356">
        <f>'Table 5C2 - LA Virtual Admy '!D57</f>
        <v>4270.7827013792439</v>
      </c>
      <c r="I58" s="1356">
        <f>'Table 5C2 - LA Virtual Admy '!F57</f>
        <v>620.76600000000008</v>
      </c>
      <c r="J58" s="1356">
        <f t="shared" si="4"/>
        <v>4891.5487013792444</v>
      </c>
      <c r="K58" s="1354">
        <f t="shared" si="5"/>
        <v>-34240.840909654711</v>
      </c>
      <c r="L58" s="1365">
        <f t="shared" si="6"/>
        <v>0</v>
      </c>
      <c r="M58" s="1365">
        <f t="shared" si="7"/>
        <v>-34240.840909654711</v>
      </c>
    </row>
    <row r="59" spans="1:13" ht="14.25">
      <c r="A59" s="1186">
        <v>54</v>
      </c>
      <c r="B59" s="1186" t="s">
        <v>953</v>
      </c>
      <c r="C59" s="1351">
        <f>'Table 5C2 - LA Virtual Admy '!C58</f>
        <v>0</v>
      </c>
      <c r="D59" s="1355">
        <f>[14]Sheet1!$I58</f>
        <v>0</v>
      </c>
      <c r="E59" s="1352">
        <f t="shared" si="1"/>
        <v>0</v>
      </c>
      <c r="F59" s="1352">
        <f t="shared" si="2"/>
        <v>0</v>
      </c>
      <c r="G59" s="1352">
        <f t="shared" si="3"/>
        <v>0</v>
      </c>
      <c r="H59" s="1356">
        <f>'Table 5C2 - LA Virtual Admy '!D58</f>
        <v>5088.86379648</v>
      </c>
      <c r="I59" s="1356">
        <f>'Table 5C2 - LA Virtual Admy '!F58</f>
        <v>856.30500000000006</v>
      </c>
      <c r="J59" s="1356">
        <f t="shared" si="4"/>
        <v>5945.1687964800003</v>
      </c>
      <c r="K59" s="1354">
        <f t="shared" si="5"/>
        <v>0</v>
      </c>
      <c r="L59" s="1365">
        <f t="shared" si="6"/>
        <v>0</v>
      </c>
      <c r="M59" s="1365">
        <f t="shared" si="7"/>
        <v>0</v>
      </c>
    </row>
    <row r="60" spans="1:13" ht="14.25">
      <c r="A60" s="1192">
        <v>55</v>
      </c>
      <c r="B60" s="1192" t="s">
        <v>954</v>
      </c>
      <c r="C60" s="1357">
        <f>'Table 5C2 - LA Virtual Admy '!C59</f>
        <v>9</v>
      </c>
      <c r="D60" s="1358">
        <f>[14]Sheet1!$I59</f>
        <v>19</v>
      </c>
      <c r="E60" s="1359">
        <f t="shared" si="1"/>
        <v>10</v>
      </c>
      <c r="F60" s="1359">
        <f t="shared" si="2"/>
        <v>10</v>
      </c>
      <c r="G60" s="1359">
        <f t="shared" si="3"/>
        <v>0</v>
      </c>
      <c r="H60" s="1361">
        <f>'Table 5C2 - LA Virtual Admy '!D59</f>
        <v>3661.7481053348683</v>
      </c>
      <c r="I60" s="1361">
        <f>'Table 5C2 - LA Virtual Admy '!F59</f>
        <v>715.62599999999998</v>
      </c>
      <c r="J60" s="1361">
        <f t="shared" si="4"/>
        <v>4377.3741053348685</v>
      </c>
      <c r="K60" s="1362">
        <f t="shared" si="5"/>
        <v>43773.741053348684</v>
      </c>
      <c r="L60" s="1366">
        <f t="shared" si="6"/>
        <v>43773.741053348684</v>
      </c>
      <c r="M60" s="1366">
        <f t="shared" si="7"/>
        <v>0</v>
      </c>
    </row>
    <row r="61" spans="1:13" ht="14.25">
      <c r="A61" s="1186">
        <v>56</v>
      </c>
      <c r="B61" s="1186" t="s">
        <v>652</v>
      </c>
      <c r="C61" s="1351">
        <f>'Table 5C2 - LA Virtual Admy '!C60</f>
        <v>5</v>
      </c>
      <c r="D61" s="1351">
        <f>[14]Sheet1!$I60</f>
        <v>8</v>
      </c>
      <c r="E61" s="1352">
        <f t="shared" si="1"/>
        <v>3</v>
      </c>
      <c r="F61" s="1352">
        <f t="shared" si="2"/>
        <v>3</v>
      </c>
      <c r="G61" s="1352">
        <f t="shared" si="3"/>
        <v>0</v>
      </c>
      <c r="H61" s="1353">
        <f>'Table 5C2 - LA Virtual Admy '!D60</f>
        <v>4589.6942743758955</v>
      </c>
      <c r="I61" s="1353">
        <f>'Table 5C2 - LA Virtual Admy '!F60</f>
        <v>553.19400000000007</v>
      </c>
      <c r="J61" s="1353">
        <f t="shared" si="4"/>
        <v>5142.8882743758959</v>
      </c>
      <c r="K61" s="1354">
        <f t="shared" si="5"/>
        <v>15428.664823127689</v>
      </c>
      <c r="L61" s="1365">
        <f t="shared" si="6"/>
        <v>15428.664823127689</v>
      </c>
      <c r="M61" s="1365">
        <f t="shared" si="7"/>
        <v>0</v>
      </c>
    </row>
    <row r="62" spans="1:13" ht="14.25">
      <c r="A62" s="1186">
        <v>57</v>
      </c>
      <c r="B62" s="1186" t="s">
        <v>955</v>
      </c>
      <c r="C62" s="1351">
        <f>'Table 5C2 - LA Virtual Admy '!C61</f>
        <v>11</v>
      </c>
      <c r="D62" s="1351">
        <f>[14]Sheet1!$I61</f>
        <v>11</v>
      </c>
      <c r="E62" s="1352">
        <f t="shared" si="1"/>
        <v>0</v>
      </c>
      <c r="F62" s="1352">
        <f t="shared" si="2"/>
        <v>0</v>
      </c>
      <c r="G62" s="1352">
        <f t="shared" si="3"/>
        <v>0</v>
      </c>
      <c r="H62" s="1353">
        <f>'Table 5C2 - LA Virtual Admy '!D61</f>
        <v>4070.7778701927314</v>
      </c>
      <c r="I62" s="1353">
        <f>'Table 5C2 - LA Virtual Admy '!F61</f>
        <v>688.05899999999997</v>
      </c>
      <c r="J62" s="1353">
        <f t="shared" si="4"/>
        <v>4758.8368701927311</v>
      </c>
      <c r="K62" s="1354">
        <f t="shared" si="5"/>
        <v>0</v>
      </c>
      <c r="L62" s="1365">
        <f t="shared" si="6"/>
        <v>0</v>
      </c>
      <c r="M62" s="1365">
        <f t="shared" si="7"/>
        <v>0</v>
      </c>
    </row>
    <row r="63" spans="1:13" ht="14.25">
      <c r="A63" s="1186">
        <v>58</v>
      </c>
      <c r="B63" s="1186" t="s">
        <v>956</v>
      </c>
      <c r="C63" s="1351">
        <f>'Table 5C2 - LA Virtual Admy '!C62</f>
        <v>24</v>
      </c>
      <c r="D63" s="1355">
        <f>[14]Sheet1!$I62</f>
        <v>31</v>
      </c>
      <c r="E63" s="1352">
        <f t="shared" si="1"/>
        <v>7</v>
      </c>
      <c r="F63" s="1352">
        <f t="shared" si="2"/>
        <v>7</v>
      </c>
      <c r="G63" s="1352">
        <f t="shared" si="3"/>
        <v>0</v>
      </c>
      <c r="H63" s="1356">
        <f>'Table 5C2 - LA Virtual Admy '!D62</f>
        <v>4756.468530368832</v>
      </c>
      <c r="I63" s="1356">
        <f>'Table 5C2 - LA Virtual Admy '!F62</f>
        <v>627.33600000000001</v>
      </c>
      <c r="J63" s="1356">
        <f t="shared" si="4"/>
        <v>5383.8045303688323</v>
      </c>
      <c r="K63" s="1354">
        <f t="shared" si="5"/>
        <v>37686.631712581824</v>
      </c>
      <c r="L63" s="1365">
        <f t="shared" si="6"/>
        <v>37686.631712581824</v>
      </c>
      <c r="M63" s="1365">
        <f t="shared" si="7"/>
        <v>0</v>
      </c>
    </row>
    <row r="64" spans="1:13" ht="14.25">
      <c r="A64" s="1186">
        <v>59</v>
      </c>
      <c r="B64" s="1186" t="s">
        <v>957</v>
      </c>
      <c r="C64" s="1351">
        <f>'Table 5C2 - LA Virtual Admy '!C63</f>
        <v>9</v>
      </c>
      <c r="D64" s="1355">
        <f>[14]Sheet1!$I63</f>
        <v>7</v>
      </c>
      <c r="E64" s="1352">
        <f t="shared" si="1"/>
        <v>-2</v>
      </c>
      <c r="F64" s="1352">
        <f t="shared" si="2"/>
        <v>0</v>
      </c>
      <c r="G64" s="1352">
        <f t="shared" si="3"/>
        <v>-2</v>
      </c>
      <c r="H64" s="1356">
        <f>'Table 5C2 - LA Virtual Admy '!D63</f>
        <v>5589.7772228340255</v>
      </c>
      <c r="I64" s="1356">
        <f>'Table 5C2 - LA Virtual Admy '!F63</f>
        <v>620.56799999999998</v>
      </c>
      <c r="J64" s="1356">
        <f t="shared" si="4"/>
        <v>6210.3452228340257</v>
      </c>
      <c r="K64" s="1354">
        <f t="shared" si="5"/>
        <v>-12420.690445668051</v>
      </c>
      <c r="L64" s="1365">
        <f t="shared" si="6"/>
        <v>0</v>
      </c>
      <c r="M64" s="1365">
        <f t="shared" si="7"/>
        <v>-12420.690445668051</v>
      </c>
    </row>
    <row r="65" spans="1:13" ht="14.25">
      <c r="A65" s="1192">
        <v>60</v>
      </c>
      <c r="B65" s="1192" t="s">
        <v>958</v>
      </c>
      <c r="C65" s="1357">
        <f>'Table 5C2 - LA Virtual Admy '!C64</f>
        <v>16</v>
      </c>
      <c r="D65" s="1358">
        <f>[14]Sheet1!$I64</f>
        <v>11</v>
      </c>
      <c r="E65" s="1359">
        <f t="shared" si="1"/>
        <v>-5</v>
      </c>
      <c r="F65" s="1359">
        <f t="shared" si="2"/>
        <v>0</v>
      </c>
      <c r="G65" s="1359">
        <f t="shared" si="3"/>
        <v>-5</v>
      </c>
      <c r="H65" s="1361">
        <f>'Table 5C2 - LA Virtual Admy '!D64</f>
        <v>4422.4714493933088</v>
      </c>
      <c r="I65" s="1361">
        <f>'Table 5C2 - LA Virtual Admy '!F64</f>
        <v>534.63599999999997</v>
      </c>
      <c r="J65" s="1361">
        <f t="shared" si="4"/>
        <v>4957.1074493933083</v>
      </c>
      <c r="K65" s="1362">
        <f t="shared" si="5"/>
        <v>-24785.537246966542</v>
      </c>
      <c r="L65" s="1366">
        <f t="shared" si="6"/>
        <v>0</v>
      </c>
      <c r="M65" s="1366">
        <f t="shared" si="7"/>
        <v>-24785.537246966542</v>
      </c>
    </row>
    <row r="66" spans="1:13" ht="14.25">
      <c r="A66" s="1186">
        <v>61</v>
      </c>
      <c r="B66" s="1186" t="s">
        <v>959</v>
      </c>
      <c r="C66" s="1351">
        <f>'Table 5C2 - LA Virtual Admy '!C65</f>
        <v>3</v>
      </c>
      <c r="D66" s="1351">
        <f>[14]Sheet1!$I65</f>
        <v>15</v>
      </c>
      <c r="E66" s="1352">
        <f t="shared" si="1"/>
        <v>12</v>
      </c>
      <c r="F66" s="1352">
        <f t="shared" si="2"/>
        <v>12</v>
      </c>
      <c r="G66" s="1352">
        <f t="shared" si="3"/>
        <v>0</v>
      </c>
      <c r="H66" s="1353">
        <f>'Table 5C2 - LA Virtual Admy '!D65</f>
        <v>2631.4655293498095</v>
      </c>
      <c r="I66" s="1353">
        <f>'Table 5C2 - LA Virtual Admy '!F65</f>
        <v>750.33899999999994</v>
      </c>
      <c r="J66" s="1353">
        <f t="shared" si="4"/>
        <v>3381.8045293498094</v>
      </c>
      <c r="K66" s="1354">
        <f t="shared" si="5"/>
        <v>40581.654352197715</v>
      </c>
      <c r="L66" s="1365">
        <f t="shared" si="6"/>
        <v>40581.654352197715</v>
      </c>
      <c r="M66" s="1365">
        <f t="shared" si="7"/>
        <v>0</v>
      </c>
    </row>
    <row r="67" spans="1:13" ht="14.25">
      <c r="A67" s="1186">
        <v>62</v>
      </c>
      <c r="B67" s="1186" t="s">
        <v>960</v>
      </c>
      <c r="C67" s="1351">
        <f>'Table 5C2 - LA Virtual Admy '!C66</f>
        <v>3</v>
      </c>
      <c r="D67" s="1351">
        <f>[14]Sheet1!$I66</f>
        <v>2</v>
      </c>
      <c r="E67" s="1352">
        <f t="shared" si="1"/>
        <v>-1</v>
      </c>
      <c r="F67" s="1352">
        <f t="shared" si="2"/>
        <v>0</v>
      </c>
      <c r="G67" s="1352">
        <f t="shared" si="3"/>
        <v>-1</v>
      </c>
      <c r="H67" s="1353">
        <f>'Table 5C2 - LA Virtual Admy '!D66</f>
        <v>4952.451925981527</v>
      </c>
      <c r="I67" s="1353">
        <f>'Table 5C2 - LA Virtual Admy '!F66</f>
        <v>464.47200000000004</v>
      </c>
      <c r="J67" s="1353">
        <f t="shared" si="4"/>
        <v>5416.9239259815267</v>
      </c>
      <c r="K67" s="1354">
        <f t="shared" si="5"/>
        <v>-5416.9239259815267</v>
      </c>
      <c r="L67" s="1365">
        <f t="shared" si="6"/>
        <v>0</v>
      </c>
      <c r="M67" s="1365">
        <f t="shared" si="7"/>
        <v>-5416.9239259815267</v>
      </c>
    </row>
    <row r="68" spans="1:13" ht="14.25">
      <c r="A68" s="1186">
        <v>63</v>
      </c>
      <c r="B68" s="1186" t="s">
        <v>961</v>
      </c>
      <c r="C68" s="1351">
        <f>'Table 5C2 - LA Virtual Admy '!C67</f>
        <v>0</v>
      </c>
      <c r="D68" s="1355">
        <f>[14]Sheet1!$I67</f>
        <v>1</v>
      </c>
      <c r="E68" s="1352">
        <f t="shared" si="1"/>
        <v>1</v>
      </c>
      <c r="F68" s="1352">
        <f t="shared" si="2"/>
        <v>1</v>
      </c>
      <c r="G68" s="1352">
        <f t="shared" si="3"/>
        <v>0</v>
      </c>
      <c r="H68" s="1356">
        <f>'Table 5C2 - LA Virtual Admy '!D67</f>
        <v>3822.1503336417391</v>
      </c>
      <c r="I68" s="1356">
        <f>'Table 5C2 - LA Virtual Admy '!F67</f>
        <v>681.11099999999999</v>
      </c>
      <c r="J68" s="1356">
        <f t="shared" si="4"/>
        <v>4503.2613336417389</v>
      </c>
      <c r="K68" s="1354">
        <f t="shared" si="5"/>
        <v>4503.2613336417389</v>
      </c>
      <c r="L68" s="1365">
        <f t="shared" si="6"/>
        <v>4503.2613336417389</v>
      </c>
      <c r="M68" s="1365">
        <f t="shared" si="7"/>
        <v>0</v>
      </c>
    </row>
    <row r="69" spans="1:13" ht="14.25">
      <c r="A69" s="1186">
        <v>64</v>
      </c>
      <c r="B69" s="1186" t="s">
        <v>962</v>
      </c>
      <c r="C69" s="1351">
        <f>'Table 5C2 - LA Virtual Admy '!C68</f>
        <v>1</v>
      </c>
      <c r="D69" s="1355">
        <f>[14]Sheet1!$I68</f>
        <v>3</v>
      </c>
      <c r="E69" s="1352">
        <f t="shared" si="1"/>
        <v>2</v>
      </c>
      <c r="F69" s="1352">
        <f t="shared" si="2"/>
        <v>2</v>
      </c>
      <c r="G69" s="1352">
        <f t="shared" si="3"/>
        <v>0</v>
      </c>
      <c r="H69" s="1356">
        <f>'Table 5C2 - LA Virtual Admy '!D68</f>
        <v>5271.286266696583</v>
      </c>
      <c r="I69" s="1356">
        <f>'Table 5C2 - LA Virtual Admy '!F68</f>
        <v>533.39400000000001</v>
      </c>
      <c r="J69" s="1356">
        <f t="shared" si="4"/>
        <v>5804.6802666965832</v>
      </c>
      <c r="K69" s="1354">
        <f t="shared" si="5"/>
        <v>11609.360533393166</v>
      </c>
      <c r="L69" s="1365">
        <f t="shared" si="6"/>
        <v>11609.360533393166</v>
      </c>
      <c r="M69" s="1365">
        <f t="shared" si="7"/>
        <v>0</v>
      </c>
    </row>
    <row r="70" spans="1:13" ht="14.25">
      <c r="A70" s="1192">
        <v>65</v>
      </c>
      <c r="B70" s="1192" t="s">
        <v>963</v>
      </c>
      <c r="C70" s="1357">
        <f>'Table 5C2 - LA Virtual Admy '!C69</f>
        <v>0</v>
      </c>
      <c r="D70" s="1358">
        <f>[14]Sheet1!$I69</f>
        <v>6</v>
      </c>
      <c r="E70" s="1359">
        <f t="shared" si="1"/>
        <v>6</v>
      </c>
      <c r="F70" s="1359">
        <f t="shared" si="2"/>
        <v>6</v>
      </c>
      <c r="G70" s="1359">
        <f t="shared" si="3"/>
        <v>0</v>
      </c>
      <c r="H70" s="1361">
        <f>'Table 5C2 - LA Virtual Admy '!D69</f>
        <v>4058.1400565581794</v>
      </c>
      <c r="I70" s="1361">
        <f>'Table 5C2 - LA Virtual Admy '!F69</f>
        <v>746.20799999999997</v>
      </c>
      <c r="J70" s="1361">
        <f t="shared" si="4"/>
        <v>4804.3480565581795</v>
      </c>
      <c r="K70" s="1362">
        <f t="shared" si="5"/>
        <v>28826.088339349077</v>
      </c>
      <c r="L70" s="1366">
        <f t="shared" si="6"/>
        <v>28826.088339349077</v>
      </c>
      <c r="M70" s="1366">
        <f t="shared" si="7"/>
        <v>0</v>
      </c>
    </row>
    <row r="71" spans="1:13" ht="14.25">
      <c r="A71" s="1197">
        <v>66</v>
      </c>
      <c r="B71" s="1197" t="s">
        <v>964</v>
      </c>
      <c r="C71" s="1351">
        <f>'Table 5C2 - LA Virtual Admy '!C70</f>
        <v>0</v>
      </c>
      <c r="D71" s="1355">
        <f>[14]Sheet1!$I70</f>
        <v>6</v>
      </c>
      <c r="E71" s="1352">
        <f>D71-C71</f>
        <v>6</v>
      </c>
      <c r="F71" s="1352">
        <f>IF(E71&gt;0,E71,0)</f>
        <v>6</v>
      </c>
      <c r="G71" s="1352">
        <f>IF(E71&lt;0,E71,0)</f>
        <v>0</v>
      </c>
      <c r="H71" s="1356">
        <f>'Table 5C2 - LA Virtual Admy '!D70</f>
        <v>5548.4334996842617</v>
      </c>
      <c r="I71" s="1356">
        <f>'Table 5C2 - LA Virtual Admy '!F70</f>
        <v>657.05399999999997</v>
      </c>
      <c r="J71" s="1356">
        <f>I71+H71</f>
        <v>6205.4874996842618</v>
      </c>
      <c r="K71" s="1354">
        <f>E71*J71</f>
        <v>37232.924998105569</v>
      </c>
      <c r="L71" s="1365">
        <f>IF(K71&gt;0,K71,0)</f>
        <v>37232.924998105569</v>
      </c>
      <c r="M71" s="1365">
        <f>IF(K71&lt;0,K71,0)</f>
        <v>0</v>
      </c>
    </row>
    <row r="72" spans="1:13" ht="14.25">
      <c r="A72" s="1186">
        <v>67</v>
      </c>
      <c r="B72" s="1186" t="s">
        <v>965</v>
      </c>
      <c r="C72" s="1351">
        <f>'Table 5C2 - LA Virtual Admy '!C71</f>
        <v>4</v>
      </c>
      <c r="D72" s="1351">
        <f>[14]Sheet1!$I71</f>
        <v>8</v>
      </c>
      <c r="E72" s="1352">
        <f>D72-C72</f>
        <v>4</v>
      </c>
      <c r="F72" s="1352">
        <f>IF(E72&gt;0,E72,0)</f>
        <v>4</v>
      </c>
      <c r="G72" s="1352">
        <f>IF(E72&lt;0,E72,0)</f>
        <v>0</v>
      </c>
      <c r="H72" s="1353">
        <f>'Table 5C2 - LA Virtual Admy '!D71</f>
        <v>4497.9714675875975</v>
      </c>
      <c r="I72" s="1353">
        <f>'Table 5C2 - LA Virtual Admy '!F71</f>
        <v>644.04899999999998</v>
      </c>
      <c r="J72" s="1353">
        <f>I72+H72</f>
        <v>5142.0204675875975</v>
      </c>
      <c r="K72" s="1354">
        <f>E72*J72</f>
        <v>20568.08187035039</v>
      </c>
      <c r="L72" s="1365">
        <f>IF(K72&gt;0,K72,0)</f>
        <v>20568.08187035039</v>
      </c>
      <c r="M72" s="1365">
        <f>IF(K72&lt;0,K72,0)</f>
        <v>0</v>
      </c>
    </row>
    <row r="73" spans="1:13" ht="14.25">
      <c r="A73" s="1186">
        <v>68</v>
      </c>
      <c r="B73" s="1186" t="s">
        <v>966</v>
      </c>
      <c r="C73" s="1351">
        <f>'Table 5C2 - LA Virtual Admy '!C72</f>
        <v>0</v>
      </c>
      <c r="D73" s="1351">
        <f>[14]Sheet1!$I72</f>
        <v>4</v>
      </c>
      <c r="E73" s="1352">
        <f>D73-C73</f>
        <v>4</v>
      </c>
      <c r="F73" s="1352">
        <f>IF(E73&gt;0,E73,0)</f>
        <v>4</v>
      </c>
      <c r="G73" s="1352">
        <f>IF(E73&lt;0,E73,0)</f>
        <v>0</v>
      </c>
      <c r="H73" s="1353">
        <f>'Table 5C2 - LA Virtual Admy '!D72</f>
        <v>5271.2040456958403</v>
      </c>
      <c r="I73" s="1353">
        <f>'Table 5C2 - LA Virtual Admy '!F72</f>
        <v>718.83</v>
      </c>
      <c r="J73" s="1353">
        <f>I73+H73</f>
        <v>5990.0340456958402</v>
      </c>
      <c r="K73" s="1354">
        <f>E73*J73</f>
        <v>23960.136182783361</v>
      </c>
      <c r="L73" s="1365">
        <f>IF(K73&gt;0,K73,0)</f>
        <v>23960.136182783361</v>
      </c>
      <c r="M73" s="1365">
        <f>IF(K73&lt;0,K73,0)</f>
        <v>0</v>
      </c>
    </row>
    <row r="74" spans="1:13" ht="14.25">
      <c r="A74" s="1213">
        <v>69</v>
      </c>
      <c r="B74" s="1199" t="s">
        <v>967</v>
      </c>
      <c r="C74" s="1351">
        <f>'Table 5C2 - LA Virtual Admy '!C73</f>
        <v>5</v>
      </c>
      <c r="D74" s="1351">
        <f>[14]Sheet1!$I73</f>
        <v>5</v>
      </c>
      <c r="E74" s="1352">
        <f>D74-C74</f>
        <v>0</v>
      </c>
      <c r="F74" s="1352">
        <f>IF(E74&gt;0,E74,0)</f>
        <v>0</v>
      </c>
      <c r="G74" s="1352">
        <f>IF(E74&lt;0,E74,0)</f>
        <v>0</v>
      </c>
      <c r="H74" s="1353">
        <f>'Table 5C2 - LA Virtual Admy '!D73</f>
        <v>4943.9917793963914</v>
      </c>
      <c r="I74" s="1353">
        <f>'Table 5C2 - LA Virtual Admy '!F73</f>
        <v>635.10299999999995</v>
      </c>
      <c r="J74" s="1353">
        <f>I74+H74</f>
        <v>5579.0947793963915</v>
      </c>
      <c r="K74" s="1354">
        <f>E74*J74</f>
        <v>0</v>
      </c>
      <c r="L74" s="1365">
        <f>IF(K74&gt;0,K74,0)</f>
        <v>0</v>
      </c>
      <c r="M74" s="1365">
        <f>IF(K74&lt;0,K74,0)</f>
        <v>0</v>
      </c>
    </row>
    <row r="75" spans="1:13" s="1204" customFormat="1" ht="15.75" thickBot="1">
      <c r="A75" s="1369"/>
      <c r="B75" s="1201" t="s">
        <v>1152</v>
      </c>
      <c r="C75" s="1370">
        <f>SUM(C6:C74)</f>
        <v>1100</v>
      </c>
      <c r="D75" s="1370">
        <f t="shared" ref="D75:M75" si="8">SUM(D6:D74)</f>
        <v>1246</v>
      </c>
      <c r="E75" s="1370">
        <f t="shared" si="8"/>
        <v>146</v>
      </c>
      <c r="F75" s="1370">
        <f t="shared" si="8"/>
        <v>229</v>
      </c>
      <c r="G75" s="1370">
        <f t="shared" si="8"/>
        <v>-83</v>
      </c>
      <c r="H75" s="1371"/>
      <c r="I75" s="1371"/>
      <c r="J75" s="1371"/>
      <c r="K75" s="1371">
        <f t="shared" si="8"/>
        <v>651135.80705186899</v>
      </c>
      <c r="L75" s="1371">
        <f t="shared" si="8"/>
        <v>1051165.2698299941</v>
      </c>
      <c r="M75" s="1371">
        <f t="shared" si="8"/>
        <v>-400029.46277812513</v>
      </c>
    </row>
    <row r="76" spans="1:13" ht="13.5" thickTop="1"/>
  </sheetData>
  <mergeCells count="13">
    <mergeCell ref="F2:F3"/>
    <mergeCell ref="A2:A3"/>
    <mergeCell ref="B2:B3"/>
    <mergeCell ref="C2:C3"/>
    <mergeCell ref="D2:D3"/>
    <mergeCell ref="E2:E3"/>
    <mergeCell ref="M2:M3"/>
    <mergeCell ref="G2:G3"/>
    <mergeCell ref="H2:H3"/>
    <mergeCell ref="I2:I3"/>
    <mergeCell ref="J2:J3"/>
    <mergeCell ref="K2:K3"/>
    <mergeCell ref="L2:L3"/>
  </mergeCells>
  <pageMargins left="0.43" right="0.48" top="0.75" bottom="0.75" header="0.3" footer="0.3"/>
  <pageSetup paperSize="5" scale="43" orientation="portrait" r:id="rId1"/>
  <headerFooter>
    <oddHeader>&amp;L&amp;"Arial,Bold"&amp;24FY2011-12 MFP Budget Letter: October 1 Mid-year Adjustment for Students</oddHeader>
    <oddFooter>&amp;L&amp;Z&amp;F</oddFooter>
  </headerFooter>
</worksheet>
</file>

<file path=xl/worksheets/sheet21.xml><?xml version="1.0" encoding="utf-8"?>
<worksheet xmlns="http://schemas.openxmlformats.org/spreadsheetml/2006/main" xmlns:r="http://schemas.openxmlformats.org/officeDocument/2006/relationships">
  <dimension ref="A1:M76"/>
  <sheetViews>
    <sheetView view="pageBreakPreview" topLeftCell="D1" zoomScaleNormal="100" zoomScaleSheetLayoutView="100" workbookViewId="0">
      <selection activeCell="H2" sqref="H2:H3"/>
    </sheetView>
  </sheetViews>
  <sheetFormatPr defaultRowHeight="12.75"/>
  <cols>
    <col min="1" max="1" width="5.5703125" style="1181" customWidth="1"/>
    <col min="2" max="2" width="61.28515625" style="1181" customWidth="1"/>
    <col min="3" max="3" width="12.42578125" style="1181" customWidth="1"/>
    <col min="4" max="5" width="12.5703125" style="1181" customWidth="1"/>
    <col min="6" max="6" width="11.7109375" style="1181" customWidth="1"/>
    <col min="7" max="7" width="11.85546875" style="1181" customWidth="1"/>
    <col min="8" max="8" width="13.140625" style="1465" customWidth="1"/>
    <col min="9" max="9" width="11.5703125" style="1466" customWidth="1"/>
    <col min="10" max="10" width="15.42578125" style="1181" customWidth="1"/>
    <col min="11" max="11" width="16.85546875" style="1465" customWidth="1"/>
    <col min="12" max="12" width="15.7109375" style="1181" customWidth="1"/>
    <col min="13" max="13" width="16.7109375" style="1181" customWidth="1"/>
    <col min="14" max="256" width="9.140625" style="1181"/>
    <col min="257" max="257" width="4.42578125" style="1181" customWidth="1"/>
    <col min="258" max="258" width="46.85546875" style="1181" customWidth="1"/>
    <col min="259" max="259" width="11.28515625" style="1181" bestFit="1" customWidth="1"/>
    <col min="260" max="260" width="11.42578125" style="1181" bestFit="1" customWidth="1"/>
    <col min="261" max="261" width="11.85546875" style="1181" customWidth="1"/>
    <col min="262" max="262" width="10" style="1181" customWidth="1"/>
    <col min="263" max="263" width="11.140625" style="1181" customWidth="1"/>
    <col min="264" max="264" width="10.28515625" style="1181" bestFit="1" customWidth="1"/>
    <col min="265" max="265" width="10.140625" style="1181" bestFit="1" customWidth="1"/>
    <col min="266" max="266" width="12" style="1181" bestFit="1" customWidth="1"/>
    <col min="267" max="267" width="14.28515625" style="1181" bestFit="1" customWidth="1"/>
    <col min="268" max="268" width="13.5703125" style="1181" bestFit="1" customWidth="1"/>
    <col min="269" max="269" width="13.85546875" style="1181" bestFit="1" customWidth="1"/>
    <col min="270" max="512" width="9.140625" style="1181"/>
    <col min="513" max="513" width="4.42578125" style="1181" customWidth="1"/>
    <col min="514" max="514" width="46.85546875" style="1181" customWidth="1"/>
    <col min="515" max="515" width="11.28515625" style="1181" bestFit="1" customWidth="1"/>
    <col min="516" max="516" width="11.42578125" style="1181" bestFit="1" customWidth="1"/>
    <col min="517" max="517" width="11.85546875" style="1181" customWidth="1"/>
    <col min="518" max="518" width="10" style="1181" customWidth="1"/>
    <col min="519" max="519" width="11.140625" style="1181" customWidth="1"/>
    <col min="520" max="520" width="10.28515625" style="1181" bestFit="1" customWidth="1"/>
    <col min="521" max="521" width="10.140625" style="1181" bestFit="1" customWidth="1"/>
    <col min="522" max="522" width="12" style="1181" bestFit="1" customWidth="1"/>
    <col min="523" max="523" width="14.28515625" style="1181" bestFit="1" customWidth="1"/>
    <col min="524" max="524" width="13.5703125" style="1181" bestFit="1" customWidth="1"/>
    <col min="525" max="525" width="13.85546875" style="1181" bestFit="1" customWidth="1"/>
    <col min="526" max="768" width="9.140625" style="1181"/>
    <col min="769" max="769" width="4.42578125" style="1181" customWidth="1"/>
    <col min="770" max="770" width="46.85546875" style="1181" customWidth="1"/>
    <col min="771" max="771" width="11.28515625" style="1181" bestFit="1" customWidth="1"/>
    <col min="772" max="772" width="11.42578125" style="1181" bestFit="1" customWidth="1"/>
    <col min="773" max="773" width="11.85546875" style="1181" customWidth="1"/>
    <col min="774" max="774" width="10" style="1181" customWidth="1"/>
    <col min="775" max="775" width="11.140625" style="1181" customWidth="1"/>
    <col min="776" max="776" width="10.28515625" style="1181" bestFit="1" customWidth="1"/>
    <col min="777" max="777" width="10.140625" style="1181" bestFit="1" customWidth="1"/>
    <col min="778" max="778" width="12" style="1181" bestFit="1" customWidth="1"/>
    <col min="779" max="779" width="14.28515625" style="1181" bestFit="1" customWidth="1"/>
    <col min="780" max="780" width="13.5703125" style="1181" bestFit="1" customWidth="1"/>
    <col min="781" max="781" width="13.85546875" style="1181" bestFit="1" customWidth="1"/>
    <col min="782" max="1024" width="9.140625" style="1181"/>
    <col min="1025" max="1025" width="4.42578125" style="1181" customWidth="1"/>
    <col min="1026" max="1026" width="46.85546875" style="1181" customWidth="1"/>
    <col min="1027" max="1027" width="11.28515625" style="1181" bestFit="1" customWidth="1"/>
    <col min="1028" max="1028" width="11.42578125" style="1181" bestFit="1" customWidth="1"/>
    <col min="1029" max="1029" width="11.85546875" style="1181" customWidth="1"/>
    <col min="1030" max="1030" width="10" style="1181" customWidth="1"/>
    <col min="1031" max="1031" width="11.140625" style="1181" customWidth="1"/>
    <col min="1032" max="1032" width="10.28515625" style="1181" bestFit="1" customWidth="1"/>
    <col min="1033" max="1033" width="10.140625" style="1181" bestFit="1" customWidth="1"/>
    <col min="1034" max="1034" width="12" style="1181" bestFit="1" customWidth="1"/>
    <col min="1035" max="1035" width="14.28515625" style="1181" bestFit="1" customWidth="1"/>
    <col min="1036" max="1036" width="13.5703125" style="1181" bestFit="1" customWidth="1"/>
    <col min="1037" max="1037" width="13.85546875" style="1181" bestFit="1" customWidth="1"/>
    <col min="1038" max="1280" width="9.140625" style="1181"/>
    <col min="1281" max="1281" width="4.42578125" style="1181" customWidth="1"/>
    <col min="1282" max="1282" width="46.85546875" style="1181" customWidth="1"/>
    <col min="1283" max="1283" width="11.28515625" style="1181" bestFit="1" customWidth="1"/>
    <col min="1284" max="1284" width="11.42578125" style="1181" bestFit="1" customWidth="1"/>
    <col min="1285" max="1285" width="11.85546875" style="1181" customWidth="1"/>
    <col min="1286" max="1286" width="10" style="1181" customWidth="1"/>
    <col min="1287" max="1287" width="11.140625" style="1181" customWidth="1"/>
    <col min="1288" max="1288" width="10.28515625" style="1181" bestFit="1" customWidth="1"/>
    <col min="1289" max="1289" width="10.140625" style="1181" bestFit="1" customWidth="1"/>
    <col min="1290" max="1290" width="12" style="1181" bestFit="1" customWidth="1"/>
    <col min="1291" max="1291" width="14.28515625" style="1181" bestFit="1" customWidth="1"/>
    <col min="1292" max="1292" width="13.5703125" style="1181" bestFit="1" customWidth="1"/>
    <col min="1293" max="1293" width="13.85546875" style="1181" bestFit="1" customWidth="1"/>
    <col min="1294" max="1536" width="9.140625" style="1181"/>
    <col min="1537" max="1537" width="4.42578125" style="1181" customWidth="1"/>
    <col min="1538" max="1538" width="46.85546875" style="1181" customWidth="1"/>
    <col min="1539" max="1539" width="11.28515625" style="1181" bestFit="1" customWidth="1"/>
    <col min="1540" max="1540" width="11.42578125" style="1181" bestFit="1" customWidth="1"/>
    <col min="1541" max="1541" width="11.85546875" style="1181" customWidth="1"/>
    <col min="1542" max="1542" width="10" style="1181" customWidth="1"/>
    <col min="1543" max="1543" width="11.140625" style="1181" customWidth="1"/>
    <col min="1544" max="1544" width="10.28515625" style="1181" bestFit="1" customWidth="1"/>
    <col min="1545" max="1545" width="10.140625" style="1181" bestFit="1" customWidth="1"/>
    <col min="1546" max="1546" width="12" style="1181" bestFit="1" customWidth="1"/>
    <col min="1547" max="1547" width="14.28515625" style="1181" bestFit="1" customWidth="1"/>
    <col min="1548" max="1548" width="13.5703125" style="1181" bestFit="1" customWidth="1"/>
    <col min="1549" max="1549" width="13.85546875" style="1181" bestFit="1" customWidth="1"/>
    <col min="1550" max="1792" width="9.140625" style="1181"/>
    <col min="1793" max="1793" width="4.42578125" style="1181" customWidth="1"/>
    <col min="1794" max="1794" width="46.85546875" style="1181" customWidth="1"/>
    <col min="1795" max="1795" width="11.28515625" style="1181" bestFit="1" customWidth="1"/>
    <col min="1796" max="1796" width="11.42578125" style="1181" bestFit="1" customWidth="1"/>
    <col min="1797" max="1797" width="11.85546875" style="1181" customWidth="1"/>
    <col min="1798" max="1798" width="10" style="1181" customWidth="1"/>
    <col min="1799" max="1799" width="11.140625" style="1181" customWidth="1"/>
    <col min="1800" max="1800" width="10.28515625" style="1181" bestFit="1" customWidth="1"/>
    <col min="1801" max="1801" width="10.140625" style="1181" bestFit="1" customWidth="1"/>
    <col min="1802" max="1802" width="12" style="1181" bestFit="1" customWidth="1"/>
    <col min="1803" max="1803" width="14.28515625" style="1181" bestFit="1" customWidth="1"/>
    <col min="1804" max="1804" width="13.5703125" style="1181" bestFit="1" customWidth="1"/>
    <col min="1805" max="1805" width="13.85546875" style="1181" bestFit="1" customWidth="1"/>
    <col min="1806" max="2048" width="9.140625" style="1181"/>
    <col min="2049" max="2049" width="4.42578125" style="1181" customWidth="1"/>
    <col min="2050" max="2050" width="46.85546875" style="1181" customWidth="1"/>
    <col min="2051" max="2051" width="11.28515625" style="1181" bestFit="1" customWidth="1"/>
    <col min="2052" max="2052" width="11.42578125" style="1181" bestFit="1" customWidth="1"/>
    <col min="2053" max="2053" width="11.85546875" style="1181" customWidth="1"/>
    <col min="2054" max="2054" width="10" style="1181" customWidth="1"/>
    <col min="2055" max="2055" width="11.140625" style="1181" customWidth="1"/>
    <col min="2056" max="2056" width="10.28515625" style="1181" bestFit="1" customWidth="1"/>
    <col min="2057" max="2057" width="10.140625" style="1181" bestFit="1" customWidth="1"/>
    <col min="2058" max="2058" width="12" style="1181" bestFit="1" customWidth="1"/>
    <col min="2059" max="2059" width="14.28515625" style="1181" bestFit="1" customWidth="1"/>
    <col min="2060" max="2060" width="13.5703125" style="1181" bestFit="1" customWidth="1"/>
    <col min="2061" max="2061" width="13.85546875" style="1181" bestFit="1" customWidth="1"/>
    <col min="2062" max="2304" width="9.140625" style="1181"/>
    <col min="2305" max="2305" width="4.42578125" style="1181" customWidth="1"/>
    <col min="2306" max="2306" width="46.85546875" style="1181" customWidth="1"/>
    <col min="2307" max="2307" width="11.28515625" style="1181" bestFit="1" customWidth="1"/>
    <col min="2308" max="2308" width="11.42578125" style="1181" bestFit="1" customWidth="1"/>
    <col min="2309" max="2309" width="11.85546875" style="1181" customWidth="1"/>
    <col min="2310" max="2310" width="10" style="1181" customWidth="1"/>
    <col min="2311" max="2311" width="11.140625" style="1181" customWidth="1"/>
    <col min="2312" max="2312" width="10.28515625" style="1181" bestFit="1" customWidth="1"/>
    <col min="2313" max="2313" width="10.140625" style="1181" bestFit="1" customWidth="1"/>
    <col min="2314" max="2314" width="12" style="1181" bestFit="1" customWidth="1"/>
    <col min="2315" max="2315" width="14.28515625" style="1181" bestFit="1" customWidth="1"/>
    <col min="2316" max="2316" width="13.5703125" style="1181" bestFit="1" customWidth="1"/>
    <col min="2317" max="2317" width="13.85546875" style="1181" bestFit="1" customWidth="1"/>
    <col min="2318" max="2560" width="9.140625" style="1181"/>
    <col min="2561" max="2561" width="4.42578125" style="1181" customWidth="1"/>
    <col min="2562" max="2562" width="46.85546875" style="1181" customWidth="1"/>
    <col min="2563" max="2563" width="11.28515625" style="1181" bestFit="1" customWidth="1"/>
    <col min="2564" max="2564" width="11.42578125" style="1181" bestFit="1" customWidth="1"/>
    <col min="2565" max="2565" width="11.85546875" style="1181" customWidth="1"/>
    <col min="2566" max="2566" width="10" style="1181" customWidth="1"/>
    <col min="2567" max="2567" width="11.140625" style="1181" customWidth="1"/>
    <col min="2568" max="2568" width="10.28515625" style="1181" bestFit="1" customWidth="1"/>
    <col min="2569" max="2569" width="10.140625" style="1181" bestFit="1" customWidth="1"/>
    <col min="2570" max="2570" width="12" style="1181" bestFit="1" customWidth="1"/>
    <col min="2571" max="2571" width="14.28515625" style="1181" bestFit="1" customWidth="1"/>
    <col min="2572" max="2572" width="13.5703125" style="1181" bestFit="1" customWidth="1"/>
    <col min="2573" max="2573" width="13.85546875" style="1181" bestFit="1" customWidth="1"/>
    <col min="2574" max="2816" width="9.140625" style="1181"/>
    <col min="2817" max="2817" width="4.42578125" style="1181" customWidth="1"/>
    <col min="2818" max="2818" width="46.85546875" style="1181" customWidth="1"/>
    <col min="2819" max="2819" width="11.28515625" style="1181" bestFit="1" customWidth="1"/>
    <col min="2820" max="2820" width="11.42578125" style="1181" bestFit="1" customWidth="1"/>
    <col min="2821" max="2821" width="11.85546875" style="1181" customWidth="1"/>
    <col min="2822" max="2822" width="10" style="1181" customWidth="1"/>
    <col min="2823" max="2823" width="11.140625" style="1181" customWidth="1"/>
    <col min="2824" max="2824" width="10.28515625" style="1181" bestFit="1" customWidth="1"/>
    <col min="2825" max="2825" width="10.140625" style="1181" bestFit="1" customWidth="1"/>
    <col min="2826" max="2826" width="12" style="1181" bestFit="1" customWidth="1"/>
    <col min="2827" max="2827" width="14.28515625" style="1181" bestFit="1" customWidth="1"/>
    <col min="2828" max="2828" width="13.5703125" style="1181" bestFit="1" customWidth="1"/>
    <col min="2829" max="2829" width="13.85546875" style="1181" bestFit="1" customWidth="1"/>
    <col min="2830" max="3072" width="9.140625" style="1181"/>
    <col min="3073" max="3073" width="4.42578125" style="1181" customWidth="1"/>
    <col min="3074" max="3074" width="46.85546875" style="1181" customWidth="1"/>
    <col min="3075" max="3075" width="11.28515625" style="1181" bestFit="1" customWidth="1"/>
    <col min="3076" max="3076" width="11.42578125" style="1181" bestFit="1" customWidth="1"/>
    <col min="3077" max="3077" width="11.85546875" style="1181" customWidth="1"/>
    <col min="3078" max="3078" width="10" style="1181" customWidth="1"/>
    <col min="3079" max="3079" width="11.140625" style="1181" customWidth="1"/>
    <col min="3080" max="3080" width="10.28515625" style="1181" bestFit="1" customWidth="1"/>
    <col min="3081" max="3081" width="10.140625" style="1181" bestFit="1" customWidth="1"/>
    <col min="3082" max="3082" width="12" style="1181" bestFit="1" customWidth="1"/>
    <col min="3083" max="3083" width="14.28515625" style="1181" bestFit="1" customWidth="1"/>
    <col min="3084" max="3084" width="13.5703125" style="1181" bestFit="1" customWidth="1"/>
    <col min="3085" max="3085" width="13.85546875" style="1181" bestFit="1" customWidth="1"/>
    <col min="3086" max="3328" width="9.140625" style="1181"/>
    <col min="3329" max="3329" width="4.42578125" style="1181" customWidth="1"/>
    <col min="3330" max="3330" width="46.85546875" style="1181" customWidth="1"/>
    <col min="3331" max="3331" width="11.28515625" style="1181" bestFit="1" customWidth="1"/>
    <col min="3332" max="3332" width="11.42578125" style="1181" bestFit="1" customWidth="1"/>
    <col min="3333" max="3333" width="11.85546875" style="1181" customWidth="1"/>
    <col min="3334" max="3334" width="10" style="1181" customWidth="1"/>
    <col min="3335" max="3335" width="11.140625" style="1181" customWidth="1"/>
    <col min="3336" max="3336" width="10.28515625" style="1181" bestFit="1" customWidth="1"/>
    <col min="3337" max="3337" width="10.140625" style="1181" bestFit="1" customWidth="1"/>
    <col min="3338" max="3338" width="12" style="1181" bestFit="1" customWidth="1"/>
    <col min="3339" max="3339" width="14.28515625" style="1181" bestFit="1" customWidth="1"/>
    <col min="3340" max="3340" width="13.5703125" style="1181" bestFit="1" customWidth="1"/>
    <col min="3341" max="3341" width="13.85546875" style="1181" bestFit="1" customWidth="1"/>
    <col min="3342" max="3584" width="9.140625" style="1181"/>
    <col min="3585" max="3585" width="4.42578125" style="1181" customWidth="1"/>
    <col min="3586" max="3586" width="46.85546875" style="1181" customWidth="1"/>
    <col min="3587" max="3587" width="11.28515625" style="1181" bestFit="1" customWidth="1"/>
    <col min="3588" max="3588" width="11.42578125" style="1181" bestFit="1" customWidth="1"/>
    <col min="3589" max="3589" width="11.85546875" style="1181" customWidth="1"/>
    <col min="3590" max="3590" width="10" style="1181" customWidth="1"/>
    <col min="3591" max="3591" width="11.140625" style="1181" customWidth="1"/>
    <col min="3592" max="3592" width="10.28515625" style="1181" bestFit="1" customWidth="1"/>
    <col min="3593" max="3593" width="10.140625" style="1181" bestFit="1" customWidth="1"/>
    <col min="3594" max="3594" width="12" style="1181" bestFit="1" customWidth="1"/>
    <col min="3595" max="3595" width="14.28515625" style="1181" bestFit="1" customWidth="1"/>
    <col min="3596" max="3596" width="13.5703125" style="1181" bestFit="1" customWidth="1"/>
    <col min="3597" max="3597" width="13.85546875" style="1181" bestFit="1" customWidth="1"/>
    <col min="3598" max="3840" width="9.140625" style="1181"/>
    <col min="3841" max="3841" width="4.42578125" style="1181" customWidth="1"/>
    <col min="3842" max="3842" width="46.85546875" style="1181" customWidth="1"/>
    <col min="3843" max="3843" width="11.28515625" style="1181" bestFit="1" customWidth="1"/>
    <col min="3844" max="3844" width="11.42578125" style="1181" bestFit="1" customWidth="1"/>
    <col min="3845" max="3845" width="11.85546875" style="1181" customWidth="1"/>
    <col min="3846" max="3846" width="10" style="1181" customWidth="1"/>
    <col min="3847" max="3847" width="11.140625" style="1181" customWidth="1"/>
    <col min="3848" max="3848" width="10.28515625" style="1181" bestFit="1" customWidth="1"/>
    <col min="3849" max="3849" width="10.140625" style="1181" bestFit="1" customWidth="1"/>
    <col min="3850" max="3850" width="12" style="1181" bestFit="1" customWidth="1"/>
    <col min="3851" max="3851" width="14.28515625" style="1181" bestFit="1" customWidth="1"/>
    <col min="3852" max="3852" width="13.5703125" style="1181" bestFit="1" customWidth="1"/>
    <col min="3853" max="3853" width="13.85546875" style="1181" bestFit="1" customWidth="1"/>
    <col min="3854" max="4096" width="9.140625" style="1181"/>
    <col min="4097" max="4097" width="4.42578125" style="1181" customWidth="1"/>
    <col min="4098" max="4098" width="46.85546875" style="1181" customWidth="1"/>
    <col min="4099" max="4099" width="11.28515625" style="1181" bestFit="1" customWidth="1"/>
    <col min="4100" max="4100" width="11.42578125" style="1181" bestFit="1" customWidth="1"/>
    <col min="4101" max="4101" width="11.85546875" style="1181" customWidth="1"/>
    <col min="4102" max="4102" width="10" style="1181" customWidth="1"/>
    <col min="4103" max="4103" width="11.140625" style="1181" customWidth="1"/>
    <col min="4104" max="4104" width="10.28515625" style="1181" bestFit="1" customWidth="1"/>
    <col min="4105" max="4105" width="10.140625" style="1181" bestFit="1" customWidth="1"/>
    <col min="4106" max="4106" width="12" style="1181" bestFit="1" customWidth="1"/>
    <col min="4107" max="4107" width="14.28515625" style="1181" bestFit="1" customWidth="1"/>
    <col min="4108" max="4108" width="13.5703125" style="1181" bestFit="1" customWidth="1"/>
    <col min="4109" max="4109" width="13.85546875" style="1181" bestFit="1" customWidth="1"/>
    <col min="4110" max="4352" width="9.140625" style="1181"/>
    <col min="4353" max="4353" width="4.42578125" style="1181" customWidth="1"/>
    <col min="4354" max="4354" width="46.85546875" style="1181" customWidth="1"/>
    <col min="4355" max="4355" width="11.28515625" style="1181" bestFit="1" customWidth="1"/>
    <col min="4356" max="4356" width="11.42578125" style="1181" bestFit="1" customWidth="1"/>
    <col min="4357" max="4357" width="11.85546875" style="1181" customWidth="1"/>
    <col min="4358" max="4358" width="10" style="1181" customWidth="1"/>
    <col min="4359" max="4359" width="11.140625" style="1181" customWidth="1"/>
    <col min="4360" max="4360" width="10.28515625" style="1181" bestFit="1" customWidth="1"/>
    <col min="4361" max="4361" width="10.140625" style="1181" bestFit="1" customWidth="1"/>
    <col min="4362" max="4362" width="12" style="1181" bestFit="1" customWidth="1"/>
    <col min="4363" max="4363" width="14.28515625" style="1181" bestFit="1" customWidth="1"/>
    <col min="4364" max="4364" width="13.5703125" style="1181" bestFit="1" customWidth="1"/>
    <col min="4365" max="4365" width="13.85546875" style="1181" bestFit="1" customWidth="1"/>
    <col min="4366" max="4608" width="9.140625" style="1181"/>
    <col min="4609" max="4609" width="4.42578125" style="1181" customWidth="1"/>
    <col min="4610" max="4610" width="46.85546875" style="1181" customWidth="1"/>
    <col min="4611" max="4611" width="11.28515625" style="1181" bestFit="1" customWidth="1"/>
    <col min="4612" max="4612" width="11.42578125" style="1181" bestFit="1" customWidth="1"/>
    <col min="4613" max="4613" width="11.85546875" style="1181" customWidth="1"/>
    <col min="4614" max="4614" width="10" style="1181" customWidth="1"/>
    <col min="4615" max="4615" width="11.140625" style="1181" customWidth="1"/>
    <col min="4616" max="4616" width="10.28515625" style="1181" bestFit="1" customWidth="1"/>
    <col min="4617" max="4617" width="10.140625" style="1181" bestFit="1" customWidth="1"/>
    <col min="4618" max="4618" width="12" style="1181" bestFit="1" customWidth="1"/>
    <col min="4619" max="4619" width="14.28515625" style="1181" bestFit="1" customWidth="1"/>
    <col min="4620" max="4620" width="13.5703125" style="1181" bestFit="1" customWidth="1"/>
    <col min="4621" max="4621" width="13.85546875" style="1181" bestFit="1" customWidth="1"/>
    <col min="4622" max="4864" width="9.140625" style="1181"/>
    <col min="4865" max="4865" width="4.42578125" style="1181" customWidth="1"/>
    <col min="4866" max="4866" width="46.85546875" style="1181" customWidth="1"/>
    <col min="4867" max="4867" width="11.28515625" style="1181" bestFit="1" customWidth="1"/>
    <col min="4868" max="4868" width="11.42578125" style="1181" bestFit="1" customWidth="1"/>
    <col min="4869" max="4869" width="11.85546875" style="1181" customWidth="1"/>
    <col min="4870" max="4870" width="10" style="1181" customWidth="1"/>
    <col min="4871" max="4871" width="11.140625" style="1181" customWidth="1"/>
    <col min="4872" max="4872" width="10.28515625" style="1181" bestFit="1" customWidth="1"/>
    <col min="4873" max="4873" width="10.140625" style="1181" bestFit="1" customWidth="1"/>
    <col min="4874" max="4874" width="12" style="1181" bestFit="1" customWidth="1"/>
    <col min="4875" max="4875" width="14.28515625" style="1181" bestFit="1" customWidth="1"/>
    <col min="4876" max="4876" width="13.5703125" style="1181" bestFit="1" customWidth="1"/>
    <col min="4877" max="4877" width="13.85546875" style="1181" bestFit="1" customWidth="1"/>
    <col min="4878" max="5120" width="9.140625" style="1181"/>
    <col min="5121" max="5121" width="4.42578125" style="1181" customWidth="1"/>
    <col min="5122" max="5122" width="46.85546875" style="1181" customWidth="1"/>
    <col min="5123" max="5123" width="11.28515625" style="1181" bestFit="1" customWidth="1"/>
    <col min="5124" max="5124" width="11.42578125" style="1181" bestFit="1" customWidth="1"/>
    <col min="5125" max="5125" width="11.85546875" style="1181" customWidth="1"/>
    <col min="5126" max="5126" width="10" style="1181" customWidth="1"/>
    <col min="5127" max="5127" width="11.140625" style="1181" customWidth="1"/>
    <col min="5128" max="5128" width="10.28515625" style="1181" bestFit="1" customWidth="1"/>
    <col min="5129" max="5129" width="10.140625" style="1181" bestFit="1" customWidth="1"/>
    <col min="5130" max="5130" width="12" style="1181" bestFit="1" customWidth="1"/>
    <col min="5131" max="5131" width="14.28515625" style="1181" bestFit="1" customWidth="1"/>
    <col min="5132" max="5132" width="13.5703125" style="1181" bestFit="1" customWidth="1"/>
    <col min="5133" max="5133" width="13.85546875" style="1181" bestFit="1" customWidth="1"/>
    <col min="5134" max="5376" width="9.140625" style="1181"/>
    <col min="5377" max="5377" width="4.42578125" style="1181" customWidth="1"/>
    <col min="5378" max="5378" width="46.85546875" style="1181" customWidth="1"/>
    <col min="5379" max="5379" width="11.28515625" style="1181" bestFit="1" customWidth="1"/>
    <col min="5380" max="5380" width="11.42578125" style="1181" bestFit="1" customWidth="1"/>
    <col min="5381" max="5381" width="11.85546875" style="1181" customWidth="1"/>
    <col min="5382" max="5382" width="10" style="1181" customWidth="1"/>
    <col min="5383" max="5383" width="11.140625" style="1181" customWidth="1"/>
    <col min="5384" max="5384" width="10.28515625" style="1181" bestFit="1" customWidth="1"/>
    <col min="5385" max="5385" width="10.140625" style="1181" bestFit="1" customWidth="1"/>
    <col min="5386" max="5386" width="12" style="1181" bestFit="1" customWidth="1"/>
    <col min="5387" max="5387" width="14.28515625" style="1181" bestFit="1" customWidth="1"/>
    <col min="5388" max="5388" width="13.5703125" style="1181" bestFit="1" customWidth="1"/>
    <col min="5389" max="5389" width="13.85546875" style="1181" bestFit="1" customWidth="1"/>
    <col min="5390" max="5632" width="9.140625" style="1181"/>
    <col min="5633" max="5633" width="4.42578125" style="1181" customWidth="1"/>
    <col min="5634" max="5634" width="46.85546875" style="1181" customWidth="1"/>
    <col min="5635" max="5635" width="11.28515625" style="1181" bestFit="1" customWidth="1"/>
    <col min="5636" max="5636" width="11.42578125" style="1181" bestFit="1" customWidth="1"/>
    <col min="5637" max="5637" width="11.85546875" style="1181" customWidth="1"/>
    <col min="5638" max="5638" width="10" style="1181" customWidth="1"/>
    <col min="5639" max="5639" width="11.140625" style="1181" customWidth="1"/>
    <col min="5640" max="5640" width="10.28515625" style="1181" bestFit="1" customWidth="1"/>
    <col min="5641" max="5641" width="10.140625" style="1181" bestFit="1" customWidth="1"/>
    <col min="5642" max="5642" width="12" style="1181" bestFit="1" customWidth="1"/>
    <col min="5643" max="5643" width="14.28515625" style="1181" bestFit="1" customWidth="1"/>
    <col min="5644" max="5644" width="13.5703125" style="1181" bestFit="1" customWidth="1"/>
    <col min="5645" max="5645" width="13.85546875" style="1181" bestFit="1" customWidth="1"/>
    <col min="5646" max="5888" width="9.140625" style="1181"/>
    <col min="5889" max="5889" width="4.42578125" style="1181" customWidth="1"/>
    <col min="5890" max="5890" width="46.85546875" style="1181" customWidth="1"/>
    <col min="5891" max="5891" width="11.28515625" style="1181" bestFit="1" customWidth="1"/>
    <col min="5892" max="5892" width="11.42578125" style="1181" bestFit="1" customWidth="1"/>
    <col min="5893" max="5893" width="11.85546875" style="1181" customWidth="1"/>
    <col min="5894" max="5894" width="10" style="1181" customWidth="1"/>
    <col min="5895" max="5895" width="11.140625" style="1181" customWidth="1"/>
    <col min="5896" max="5896" width="10.28515625" style="1181" bestFit="1" customWidth="1"/>
    <col min="5897" max="5897" width="10.140625" style="1181" bestFit="1" customWidth="1"/>
    <col min="5898" max="5898" width="12" style="1181" bestFit="1" customWidth="1"/>
    <col min="5899" max="5899" width="14.28515625" style="1181" bestFit="1" customWidth="1"/>
    <col min="5900" max="5900" width="13.5703125" style="1181" bestFit="1" customWidth="1"/>
    <col min="5901" max="5901" width="13.85546875" style="1181" bestFit="1" customWidth="1"/>
    <col min="5902" max="6144" width="9.140625" style="1181"/>
    <col min="6145" max="6145" width="4.42578125" style="1181" customWidth="1"/>
    <col min="6146" max="6146" width="46.85546875" style="1181" customWidth="1"/>
    <col min="6147" max="6147" width="11.28515625" style="1181" bestFit="1" customWidth="1"/>
    <col min="6148" max="6148" width="11.42578125" style="1181" bestFit="1" customWidth="1"/>
    <col min="6149" max="6149" width="11.85546875" style="1181" customWidth="1"/>
    <col min="6150" max="6150" width="10" style="1181" customWidth="1"/>
    <col min="6151" max="6151" width="11.140625" style="1181" customWidth="1"/>
    <col min="6152" max="6152" width="10.28515625" style="1181" bestFit="1" customWidth="1"/>
    <col min="6153" max="6153" width="10.140625" style="1181" bestFit="1" customWidth="1"/>
    <col min="6154" max="6154" width="12" style="1181" bestFit="1" customWidth="1"/>
    <col min="6155" max="6155" width="14.28515625" style="1181" bestFit="1" customWidth="1"/>
    <col min="6156" max="6156" width="13.5703125" style="1181" bestFit="1" customWidth="1"/>
    <col min="6157" max="6157" width="13.85546875" style="1181" bestFit="1" customWidth="1"/>
    <col min="6158" max="6400" width="9.140625" style="1181"/>
    <col min="6401" max="6401" width="4.42578125" style="1181" customWidth="1"/>
    <col min="6402" max="6402" width="46.85546875" style="1181" customWidth="1"/>
    <col min="6403" max="6403" width="11.28515625" style="1181" bestFit="1" customWidth="1"/>
    <col min="6404" max="6404" width="11.42578125" style="1181" bestFit="1" customWidth="1"/>
    <col min="6405" max="6405" width="11.85546875" style="1181" customWidth="1"/>
    <col min="6406" max="6406" width="10" style="1181" customWidth="1"/>
    <col min="6407" max="6407" width="11.140625" style="1181" customWidth="1"/>
    <col min="6408" max="6408" width="10.28515625" style="1181" bestFit="1" customWidth="1"/>
    <col min="6409" max="6409" width="10.140625" style="1181" bestFit="1" customWidth="1"/>
    <col min="6410" max="6410" width="12" style="1181" bestFit="1" customWidth="1"/>
    <col min="6411" max="6411" width="14.28515625" style="1181" bestFit="1" customWidth="1"/>
    <col min="6412" max="6412" width="13.5703125" style="1181" bestFit="1" customWidth="1"/>
    <col min="6413" max="6413" width="13.85546875" style="1181" bestFit="1" customWidth="1"/>
    <col min="6414" max="6656" width="9.140625" style="1181"/>
    <col min="6657" max="6657" width="4.42578125" style="1181" customWidth="1"/>
    <col min="6658" max="6658" width="46.85546875" style="1181" customWidth="1"/>
    <col min="6659" max="6659" width="11.28515625" style="1181" bestFit="1" customWidth="1"/>
    <col min="6660" max="6660" width="11.42578125" style="1181" bestFit="1" customWidth="1"/>
    <col min="6661" max="6661" width="11.85546875" style="1181" customWidth="1"/>
    <col min="6662" max="6662" width="10" style="1181" customWidth="1"/>
    <col min="6663" max="6663" width="11.140625" style="1181" customWidth="1"/>
    <col min="6664" max="6664" width="10.28515625" style="1181" bestFit="1" customWidth="1"/>
    <col min="6665" max="6665" width="10.140625" style="1181" bestFit="1" customWidth="1"/>
    <col min="6666" max="6666" width="12" style="1181" bestFit="1" customWidth="1"/>
    <col min="6667" max="6667" width="14.28515625" style="1181" bestFit="1" customWidth="1"/>
    <col min="6668" max="6668" width="13.5703125" style="1181" bestFit="1" customWidth="1"/>
    <col min="6669" max="6669" width="13.85546875" style="1181" bestFit="1" customWidth="1"/>
    <col min="6670" max="6912" width="9.140625" style="1181"/>
    <col min="6913" max="6913" width="4.42578125" style="1181" customWidth="1"/>
    <col min="6914" max="6914" width="46.85546875" style="1181" customWidth="1"/>
    <col min="6915" max="6915" width="11.28515625" style="1181" bestFit="1" customWidth="1"/>
    <col min="6916" max="6916" width="11.42578125" style="1181" bestFit="1" customWidth="1"/>
    <col min="6917" max="6917" width="11.85546875" style="1181" customWidth="1"/>
    <col min="6918" max="6918" width="10" style="1181" customWidth="1"/>
    <col min="6919" max="6919" width="11.140625" style="1181" customWidth="1"/>
    <col min="6920" max="6920" width="10.28515625" style="1181" bestFit="1" customWidth="1"/>
    <col min="6921" max="6921" width="10.140625" style="1181" bestFit="1" customWidth="1"/>
    <col min="6922" max="6922" width="12" style="1181" bestFit="1" customWidth="1"/>
    <col min="6923" max="6923" width="14.28515625" style="1181" bestFit="1" customWidth="1"/>
    <col min="6924" max="6924" width="13.5703125" style="1181" bestFit="1" customWidth="1"/>
    <col min="6925" max="6925" width="13.85546875" style="1181" bestFit="1" customWidth="1"/>
    <col min="6926" max="7168" width="9.140625" style="1181"/>
    <col min="7169" max="7169" width="4.42578125" style="1181" customWidth="1"/>
    <col min="7170" max="7170" width="46.85546875" style="1181" customWidth="1"/>
    <col min="7171" max="7171" width="11.28515625" style="1181" bestFit="1" customWidth="1"/>
    <col min="7172" max="7172" width="11.42578125" style="1181" bestFit="1" customWidth="1"/>
    <col min="7173" max="7173" width="11.85546875" style="1181" customWidth="1"/>
    <col min="7174" max="7174" width="10" style="1181" customWidth="1"/>
    <col min="7175" max="7175" width="11.140625" style="1181" customWidth="1"/>
    <col min="7176" max="7176" width="10.28515625" style="1181" bestFit="1" customWidth="1"/>
    <col min="7177" max="7177" width="10.140625" style="1181" bestFit="1" customWidth="1"/>
    <col min="7178" max="7178" width="12" style="1181" bestFit="1" customWidth="1"/>
    <col min="7179" max="7179" width="14.28515625" style="1181" bestFit="1" customWidth="1"/>
    <col min="7180" max="7180" width="13.5703125" style="1181" bestFit="1" customWidth="1"/>
    <col min="7181" max="7181" width="13.85546875" style="1181" bestFit="1" customWidth="1"/>
    <col min="7182" max="7424" width="9.140625" style="1181"/>
    <col min="7425" max="7425" width="4.42578125" style="1181" customWidth="1"/>
    <col min="7426" max="7426" width="46.85546875" style="1181" customWidth="1"/>
    <col min="7427" max="7427" width="11.28515625" style="1181" bestFit="1" customWidth="1"/>
    <col min="7428" max="7428" width="11.42578125" style="1181" bestFit="1" customWidth="1"/>
    <col min="7429" max="7429" width="11.85546875" style="1181" customWidth="1"/>
    <col min="7430" max="7430" width="10" style="1181" customWidth="1"/>
    <col min="7431" max="7431" width="11.140625" style="1181" customWidth="1"/>
    <col min="7432" max="7432" width="10.28515625" style="1181" bestFit="1" customWidth="1"/>
    <col min="7433" max="7433" width="10.140625" style="1181" bestFit="1" customWidth="1"/>
    <col min="7434" max="7434" width="12" style="1181" bestFit="1" customWidth="1"/>
    <col min="7435" max="7435" width="14.28515625" style="1181" bestFit="1" customWidth="1"/>
    <col min="7436" max="7436" width="13.5703125" style="1181" bestFit="1" customWidth="1"/>
    <col min="7437" max="7437" width="13.85546875" style="1181" bestFit="1" customWidth="1"/>
    <col min="7438" max="7680" width="9.140625" style="1181"/>
    <col min="7681" max="7681" width="4.42578125" style="1181" customWidth="1"/>
    <col min="7682" max="7682" width="46.85546875" style="1181" customWidth="1"/>
    <col min="7683" max="7683" width="11.28515625" style="1181" bestFit="1" customWidth="1"/>
    <col min="7684" max="7684" width="11.42578125" style="1181" bestFit="1" customWidth="1"/>
    <col min="7685" max="7685" width="11.85546875" style="1181" customWidth="1"/>
    <col min="7686" max="7686" width="10" style="1181" customWidth="1"/>
    <col min="7687" max="7687" width="11.140625" style="1181" customWidth="1"/>
    <col min="7688" max="7688" width="10.28515625" style="1181" bestFit="1" customWidth="1"/>
    <col min="7689" max="7689" width="10.140625" style="1181" bestFit="1" customWidth="1"/>
    <col min="7690" max="7690" width="12" style="1181" bestFit="1" customWidth="1"/>
    <col min="7691" max="7691" width="14.28515625" style="1181" bestFit="1" customWidth="1"/>
    <col min="7692" max="7692" width="13.5703125" style="1181" bestFit="1" customWidth="1"/>
    <col min="7693" max="7693" width="13.85546875" style="1181" bestFit="1" customWidth="1"/>
    <col min="7694" max="7936" width="9.140625" style="1181"/>
    <col min="7937" max="7937" width="4.42578125" style="1181" customWidth="1"/>
    <col min="7938" max="7938" width="46.85546875" style="1181" customWidth="1"/>
    <col min="7939" max="7939" width="11.28515625" style="1181" bestFit="1" customWidth="1"/>
    <col min="7940" max="7940" width="11.42578125" style="1181" bestFit="1" customWidth="1"/>
    <col min="7941" max="7941" width="11.85546875" style="1181" customWidth="1"/>
    <col min="7942" max="7942" width="10" style="1181" customWidth="1"/>
    <col min="7943" max="7943" width="11.140625" style="1181" customWidth="1"/>
    <col min="7944" max="7944" width="10.28515625" style="1181" bestFit="1" customWidth="1"/>
    <col min="7945" max="7945" width="10.140625" style="1181" bestFit="1" customWidth="1"/>
    <col min="7946" max="7946" width="12" style="1181" bestFit="1" customWidth="1"/>
    <col min="7947" max="7947" width="14.28515625" style="1181" bestFit="1" customWidth="1"/>
    <col min="7948" max="7948" width="13.5703125" style="1181" bestFit="1" customWidth="1"/>
    <col min="7949" max="7949" width="13.85546875" style="1181" bestFit="1" customWidth="1"/>
    <col min="7950" max="8192" width="9.140625" style="1181"/>
    <col min="8193" max="8193" width="4.42578125" style="1181" customWidth="1"/>
    <col min="8194" max="8194" width="46.85546875" style="1181" customWidth="1"/>
    <col min="8195" max="8195" width="11.28515625" style="1181" bestFit="1" customWidth="1"/>
    <col min="8196" max="8196" width="11.42578125" style="1181" bestFit="1" customWidth="1"/>
    <col min="8197" max="8197" width="11.85546875" style="1181" customWidth="1"/>
    <col min="8198" max="8198" width="10" style="1181" customWidth="1"/>
    <col min="8199" max="8199" width="11.140625" style="1181" customWidth="1"/>
    <col min="8200" max="8200" width="10.28515625" style="1181" bestFit="1" customWidth="1"/>
    <col min="8201" max="8201" width="10.140625" style="1181" bestFit="1" customWidth="1"/>
    <col min="8202" max="8202" width="12" style="1181" bestFit="1" customWidth="1"/>
    <col min="8203" max="8203" width="14.28515625" style="1181" bestFit="1" customWidth="1"/>
    <col min="8204" max="8204" width="13.5703125" style="1181" bestFit="1" customWidth="1"/>
    <col min="8205" max="8205" width="13.85546875" style="1181" bestFit="1" customWidth="1"/>
    <col min="8206" max="8448" width="9.140625" style="1181"/>
    <col min="8449" max="8449" width="4.42578125" style="1181" customWidth="1"/>
    <col min="8450" max="8450" width="46.85546875" style="1181" customWidth="1"/>
    <col min="8451" max="8451" width="11.28515625" style="1181" bestFit="1" customWidth="1"/>
    <col min="8452" max="8452" width="11.42578125" style="1181" bestFit="1" customWidth="1"/>
    <col min="8453" max="8453" width="11.85546875" style="1181" customWidth="1"/>
    <col min="8454" max="8454" width="10" style="1181" customWidth="1"/>
    <col min="8455" max="8455" width="11.140625" style="1181" customWidth="1"/>
    <col min="8456" max="8456" width="10.28515625" style="1181" bestFit="1" customWidth="1"/>
    <col min="8457" max="8457" width="10.140625" style="1181" bestFit="1" customWidth="1"/>
    <col min="8458" max="8458" width="12" style="1181" bestFit="1" customWidth="1"/>
    <col min="8459" max="8459" width="14.28515625" style="1181" bestFit="1" customWidth="1"/>
    <col min="8460" max="8460" width="13.5703125" style="1181" bestFit="1" customWidth="1"/>
    <col min="8461" max="8461" width="13.85546875" style="1181" bestFit="1" customWidth="1"/>
    <col min="8462" max="8704" width="9.140625" style="1181"/>
    <col min="8705" max="8705" width="4.42578125" style="1181" customWidth="1"/>
    <col min="8706" max="8706" width="46.85546875" style="1181" customWidth="1"/>
    <col min="8707" max="8707" width="11.28515625" style="1181" bestFit="1" customWidth="1"/>
    <col min="8708" max="8708" width="11.42578125" style="1181" bestFit="1" customWidth="1"/>
    <col min="8709" max="8709" width="11.85546875" style="1181" customWidth="1"/>
    <col min="8710" max="8710" width="10" style="1181" customWidth="1"/>
    <col min="8711" max="8711" width="11.140625" style="1181" customWidth="1"/>
    <col min="8712" max="8712" width="10.28515625" style="1181" bestFit="1" customWidth="1"/>
    <col min="8713" max="8713" width="10.140625" style="1181" bestFit="1" customWidth="1"/>
    <col min="8714" max="8714" width="12" style="1181" bestFit="1" customWidth="1"/>
    <col min="8715" max="8715" width="14.28515625" style="1181" bestFit="1" customWidth="1"/>
    <col min="8716" max="8716" width="13.5703125" style="1181" bestFit="1" customWidth="1"/>
    <col min="8717" max="8717" width="13.85546875" style="1181" bestFit="1" customWidth="1"/>
    <col min="8718" max="8960" width="9.140625" style="1181"/>
    <col min="8961" max="8961" width="4.42578125" style="1181" customWidth="1"/>
    <col min="8962" max="8962" width="46.85546875" style="1181" customWidth="1"/>
    <col min="8963" max="8963" width="11.28515625" style="1181" bestFit="1" customWidth="1"/>
    <col min="8964" max="8964" width="11.42578125" style="1181" bestFit="1" customWidth="1"/>
    <col min="8965" max="8965" width="11.85546875" style="1181" customWidth="1"/>
    <col min="8966" max="8966" width="10" style="1181" customWidth="1"/>
    <col min="8967" max="8967" width="11.140625" style="1181" customWidth="1"/>
    <col min="8968" max="8968" width="10.28515625" style="1181" bestFit="1" customWidth="1"/>
    <col min="8969" max="8969" width="10.140625" style="1181" bestFit="1" customWidth="1"/>
    <col min="8970" max="8970" width="12" style="1181" bestFit="1" customWidth="1"/>
    <col min="8971" max="8971" width="14.28515625" style="1181" bestFit="1" customWidth="1"/>
    <col min="8972" max="8972" width="13.5703125" style="1181" bestFit="1" customWidth="1"/>
    <col min="8973" max="8973" width="13.85546875" style="1181" bestFit="1" customWidth="1"/>
    <col min="8974" max="9216" width="9.140625" style="1181"/>
    <col min="9217" max="9217" width="4.42578125" style="1181" customWidth="1"/>
    <col min="9218" max="9218" width="46.85546875" style="1181" customWidth="1"/>
    <col min="9219" max="9219" width="11.28515625" style="1181" bestFit="1" customWidth="1"/>
    <col min="9220" max="9220" width="11.42578125" style="1181" bestFit="1" customWidth="1"/>
    <col min="9221" max="9221" width="11.85546875" style="1181" customWidth="1"/>
    <col min="9222" max="9222" width="10" style="1181" customWidth="1"/>
    <col min="9223" max="9223" width="11.140625" style="1181" customWidth="1"/>
    <col min="9224" max="9224" width="10.28515625" style="1181" bestFit="1" customWidth="1"/>
    <col min="9225" max="9225" width="10.140625" style="1181" bestFit="1" customWidth="1"/>
    <col min="9226" max="9226" width="12" style="1181" bestFit="1" customWidth="1"/>
    <col min="9227" max="9227" width="14.28515625" style="1181" bestFit="1" customWidth="1"/>
    <col min="9228" max="9228" width="13.5703125" style="1181" bestFit="1" customWidth="1"/>
    <col min="9229" max="9229" width="13.85546875" style="1181" bestFit="1" customWidth="1"/>
    <col min="9230" max="9472" width="9.140625" style="1181"/>
    <col min="9473" max="9473" width="4.42578125" style="1181" customWidth="1"/>
    <col min="9474" max="9474" width="46.85546875" style="1181" customWidth="1"/>
    <col min="9475" max="9475" width="11.28515625" style="1181" bestFit="1" customWidth="1"/>
    <col min="9476" max="9476" width="11.42578125" style="1181" bestFit="1" customWidth="1"/>
    <col min="9477" max="9477" width="11.85546875" style="1181" customWidth="1"/>
    <col min="9478" max="9478" width="10" style="1181" customWidth="1"/>
    <col min="9479" max="9479" width="11.140625" style="1181" customWidth="1"/>
    <col min="9480" max="9480" width="10.28515625" style="1181" bestFit="1" customWidth="1"/>
    <col min="9481" max="9481" width="10.140625" style="1181" bestFit="1" customWidth="1"/>
    <col min="9482" max="9482" width="12" style="1181" bestFit="1" customWidth="1"/>
    <col min="9483" max="9483" width="14.28515625" style="1181" bestFit="1" customWidth="1"/>
    <col min="9484" max="9484" width="13.5703125" style="1181" bestFit="1" customWidth="1"/>
    <col min="9485" max="9485" width="13.85546875" style="1181" bestFit="1" customWidth="1"/>
    <col min="9486" max="9728" width="9.140625" style="1181"/>
    <col min="9729" max="9729" width="4.42578125" style="1181" customWidth="1"/>
    <col min="9730" max="9730" width="46.85546875" style="1181" customWidth="1"/>
    <col min="9731" max="9731" width="11.28515625" style="1181" bestFit="1" customWidth="1"/>
    <col min="9732" max="9732" width="11.42578125" style="1181" bestFit="1" customWidth="1"/>
    <col min="9733" max="9733" width="11.85546875" style="1181" customWidth="1"/>
    <col min="9734" max="9734" width="10" style="1181" customWidth="1"/>
    <col min="9735" max="9735" width="11.140625" style="1181" customWidth="1"/>
    <col min="9736" max="9736" width="10.28515625" style="1181" bestFit="1" customWidth="1"/>
    <col min="9737" max="9737" width="10.140625" style="1181" bestFit="1" customWidth="1"/>
    <col min="9738" max="9738" width="12" style="1181" bestFit="1" customWidth="1"/>
    <col min="9739" max="9739" width="14.28515625" style="1181" bestFit="1" customWidth="1"/>
    <col min="9740" max="9740" width="13.5703125" style="1181" bestFit="1" customWidth="1"/>
    <col min="9741" max="9741" width="13.85546875" style="1181" bestFit="1" customWidth="1"/>
    <col min="9742" max="9984" width="9.140625" style="1181"/>
    <col min="9985" max="9985" width="4.42578125" style="1181" customWidth="1"/>
    <col min="9986" max="9986" width="46.85546875" style="1181" customWidth="1"/>
    <col min="9987" max="9987" width="11.28515625" style="1181" bestFit="1" customWidth="1"/>
    <col min="9988" max="9988" width="11.42578125" style="1181" bestFit="1" customWidth="1"/>
    <col min="9989" max="9989" width="11.85546875" style="1181" customWidth="1"/>
    <col min="9990" max="9990" width="10" style="1181" customWidth="1"/>
    <col min="9991" max="9991" width="11.140625" style="1181" customWidth="1"/>
    <col min="9992" max="9992" width="10.28515625" style="1181" bestFit="1" customWidth="1"/>
    <col min="9993" max="9993" width="10.140625" style="1181" bestFit="1" customWidth="1"/>
    <col min="9994" max="9994" width="12" style="1181" bestFit="1" customWidth="1"/>
    <col min="9995" max="9995" width="14.28515625" style="1181" bestFit="1" customWidth="1"/>
    <col min="9996" max="9996" width="13.5703125" style="1181" bestFit="1" customWidth="1"/>
    <col min="9997" max="9997" width="13.85546875" style="1181" bestFit="1" customWidth="1"/>
    <col min="9998" max="10240" width="9.140625" style="1181"/>
    <col min="10241" max="10241" width="4.42578125" style="1181" customWidth="1"/>
    <col min="10242" max="10242" width="46.85546875" style="1181" customWidth="1"/>
    <col min="10243" max="10243" width="11.28515625" style="1181" bestFit="1" customWidth="1"/>
    <col min="10244" max="10244" width="11.42578125" style="1181" bestFit="1" customWidth="1"/>
    <col min="10245" max="10245" width="11.85546875" style="1181" customWidth="1"/>
    <col min="10246" max="10246" width="10" style="1181" customWidth="1"/>
    <col min="10247" max="10247" width="11.140625" style="1181" customWidth="1"/>
    <col min="10248" max="10248" width="10.28515625" style="1181" bestFit="1" customWidth="1"/>
    <col min="10249" max="10249" width="10.140625" style="1181" bestFit="1" customWidth="1"/>
    <col min="10250" max="10250" width="12" style="1181" bestFit="1" customWidth="1"/>
    <col min="10251" max="10251" width="14.28515625" style="1181" bestFit="1" customWidth="1"/>
    <col min="10252" max="10252" width="13.5703125" style="1181" bestFit="1" customWidth="1"/>
    <col min="10253" max="10253" width="13.85546875" style="1181" bestFit="1" customWidth="1"/>
    <col min="10254" max="10496" width="9.140625" style="1181"/>
    <col min="10497" max="10497" width="4.42578125" style="1181" customWidth="1"/>
    <col min="10498" max="10498" width="46.85546875" style="1181" customWidth="1"/>
    <col min="10499" max="10499" width="11.28515625" style="1181" bestFit="1" customWidth="1"/>
    <col min="10500" max="10500" width="11.42578125" style="1181" bestFit="1" customWidth="1"/>
    <col min="10501" max="10501" width="11.85546875" style="1181" customWidth="1"/>
    <col min="10502" max="10502" width="10" style="1181" customWidth="1"/>
    <col min="10503" max="10503" width="11.140625" style="1181" customWidth="1"/>
    <col min="10504" max="10504" width="10.28515625" style="1181" bestFit="1" customWidth="1"/>
    <col min="10505" max="10505" width="10.140625" style="1181" bestFit="1" customWidth="1"/>
    <col min="10506" max="10506" width="12" style="1181" bestFit="1" customWidth="1"/>
    <col min="10507" max="10507" width="14.28515625" style="1181" bestFit="1" customWidth="1"/>
    <col min="10508" max="10508" width="13.5703125" style="1181" bestFit="1" customWidth="1"/>
    <col min="10509" max="10509" width="13.85546875" style="1181" bestFit="1" customWidth="1"/>
    <col min="10510" max="10752" width="9.140625" style="1181"/>
    <col min="10753" max="10753" width="4.42578125" style="1181" customWidth="1"/>
    <col min="10754" max="10754" width="46.85546875" style="1181" customWidth="1"/>
    <col min="10755" max="10755" width="11.28515625" style="1181" bestFit="1" customWidth="1"/>
    <col min="10756" max="10756" width="11.42578125" style="1181" bestFit="1" customWidth="1"/>
    <col min="10757" max="10757" width="11.85546875" style="1181" customWidth="1"/>
    <col min="10758" max="10758" width="10" style="1181" customWidth="1"/>
    <col min="10759" max="10759" width="11.140625" style="1181" customWidth="1"/>
    <col min="10760" max="10760" width="10.28515625" style="1181" bestFit="1" customWidth="1"/>
    <col min="10761" max="10761" width="10.140625" style="1181" bestFit="1" customWidth="1"/>
    <col min="10762" max="10762" width="12" style="1181" bestFit="1" customWidth="1"/>
    <col min="10763" max="10763" width="14.28515625" style="1181" bestFit="1" customWidth="1"/>
    <col min="10764" max="10764" width="13.5703125" style="1181" bestFit="1" customWidth="1"/>
    <col min="10765" max="10765" width="13.85546875" style="1181" bestFit="1" customWidth="1"/>
    <col min="10766" max="11008" width="9.140625" style="1181"/>
    <col min="11009" max="11009" width="4.42578125" style="1181" customWidth="1"/>
    <col min="11010" max="11010" width="46.85546875" style="1181" customWidth="1"/>
    <col min="11011" max="11011" width="11.28515625" style="1181" bestFit="1" customWidth="1"/>
    <col min="11012" max="11012" width="11.42578125" style="1181" bestFit="1" customWidth="1"/>
    <col min="11013" max="11013" width="11.85546875" style="1181" customWidth="1"/>
    <col min="11014" max="11014" width="10" style="1181" customWidth="1"/>
    <col min="11015" max="11015" width="11.140625" style="1181" customWidth="1"/>
    <col min="11016" max="11016" width="10.28515625" style="1181" bestFit="1" customWidth="1"/>
    <col min="11017" max="11017" width="10.140625" style="1181" bestFit="1" customWidth="1"/>
    <col min="11018" max="11018" width="12" style="1181" bestFit="1" customWidth="1"/>
    <col min="11019" max="11019" width="14.28515625" style="1181" bestFit="1" customWidth="1"/>
    <col min="11020" max="11020" width="13.5703125" style="1181" bestFit="1" customWidth="1"/>
    <col min="11021" max="11021" width="13.85546875" style="1181" bestFit="1" customWidth="1"/>
    <col min="11022" max="11264" width="9.140625" style="1181"/>
    <col min="11265" max="11265" width="4.42578125" style="1181" customWidth="1"/>
    <col min="11266" max="11266" width="46.85546875" style="1181" customWidth="1"/>
    <col min="11267" max="11267" width="11.28515625" style="1181" bestFit="1" customWidth="1"/>
    <col min="11268" max="11268" width="11.42578125" style="1181" bestFit="1" customWidth="1"/>
    <col min="11269" max="11269" width="11.85546875" style="1181" customWidth="1"/>
    <col min="11270" max="11270" width="10" style="1181" customWidth="1"/>
    <col min="11271" max="11271" width="11.140625" style="1181" customWidth="1"/>
    <col min="11272" max="11272" width="10.28515625" style="1181" bestFit="1" customWidth="1"/>
    <col min="11273" max="11273" width="10.140625" style="1181" bestFit="1" customWidth="1"/>
    <col min="11274" max="11274" width="12" style="1181" bestFit="1" customWidth="1"/>
    <col min="11275" max="11275" width="14.28515625" style="1181" bestFit="1" customWidth="1"/>
    <col min="11276" max="11276" width="13.5703125" style="1181" bestFit="1" customWidth="1"/>
    <col min="11277" max="11277" width="13.85546875" style="1181" bestFit="1" customWidth="1"/>
    <col min="11278" max="11520" width="9.140625" style="1181"/>
    <col min="11521" max="11521" width="4.42578125" style="1181" customWidth="1"/>
    <col min="11522" max="11522" width="46.85546875" style="1181" customWidth="1"/>
    <col min="11523" max="11523" width="11.28515625" style="1181" bestFit="1" customWidth="1"/>
    <col min="11524" max="11524" width="11.42578125" style="1181" bestFit="1" customWidth="1"/>
    <col min="11525" max="11525" width="11.85546875" style="1181" customWidth="1"/>
    <col min="11526" max="11526" width="10" style="1181" customWidth="1"/>
    <col min="11527" max="11527" width="11.140625" style="1181" customWidth="1"/>
    <col min="11528" max="11528" width="10.28515625" style="1181" bestFit="1" customWidth="1"/>
    <col min="11529" max="11529" width="10.140625" style="1181" bestFit="1" customWidth="1"/>
    <col min="11530" max="11530" width="12" style="1181" bestFit="1" customWidth="1"/>
    <col min="11531" max="11531" width="14.28515625" style="1181" bestFit="1" customWidth="1"/>
    <col min="11532" max="11532" width="13.5703125" style="1181" bestFit="1" customWidth="1"/>
    <col min="11533" max="11533" width="13.85546875" style="1181" bestFit="1" customWidth="1"/>
    <col min="11534" max="11776" width="9.140625" style="1181"/>
    <col min="11777" max="11777" width="4.42578125" style="1181" customWidth="1"/>
    <col min="11778" max="11778" width="46.85546875" style="1181" customWidth="1"/>
    <col min="11779" max="11779" width="11.28515625" style="1181" bestFit="1" customWidth="1"/>
    <col min="11780" max="11780" width="11.42578125" style="1181" bestFit="1" customWidth="1"/>
    <col min="11781" max="11781" width="11.85546875" style="1181" customWidth="1"/>
    <col min="11782" max="11782" width="10" style="1181" customWidth="1"/>
    <col min="11783" max="11783" width="11.140625" style="1181" customWidth="1"/>
    <col min="11784" max="11784" width="10.28515625" style="1181" bestFit="1" customWidth="1"/>
    <col min="11785" max="11785" width="10.140625" style="1181" bestFit="1" customWidth="1"/>
    <col min="11786" max="11786" width="12" style="1181" bestFit="1" customWidth="1"/>
    <col min="11787" max="11787" width="14.28515625" style="1181" bestFit="1" customWidth="1"/>
    <col min="11788" max="11788" width="13.5703125" style="1181" bestFit="1" customWidth="1"/>
    <col min="11789" max="11789" width="13.85546875" style="1181" bestFit="1" customWidth="1"/>
    <col min="11790" max="12032" width="9.140625" style="1181"/>
    <col min="12033" max="12033" width="4.42578125" style="1181" customWidth="1"/>
    <col min="12034" max="12034" width="46.85546875" style="1181" customWidth="1"/>
    <col min="12035" max="12035" width="11.28515625" style="1181" bestFit="1" customWidth="1"/>
    <col min="12036" max="12036" width="11.42578125" style="1181" bestFit="1" customWidth="1"/>
    <col min="12037" max="12037" width="11.85546875" style="1181" customWidth="1"/>
    <col min="12038" max="12038" width="10" style="1181" customWidth="1"/>
    <col min="12039" max="12039" width="11.140625" style="1181" customWidth="1"/>
    <col min="12040" max="12040" width="10.28515625" style="1181" bestFit="1" customWidth="1"/>
    <col min="12041" max="12041" width="10.140625" style="1181" bestFit="1" customWidth="1"/>
    <col min="12042" max="12042" width="12" style="1181" bestFit="1" customWidth="1"/>
    <col min="12043" max="12043" width="14.28515625" style="1181" bestFit="1" customWidth="1"/>
    <col min="12044" max="12044" width="13.5703125" style="1181" bestFit="1" customWidth="1"/>
    <col min="12045" max="12045" width="13.85546875" style="1181" bestFit="1" customWidth="1"/>
    <col min="12046" max="12288" width="9.140625" style="1181"/>
    <col min="12289" max="12289" width="4.42578125" style="1181" customWidth="1"/>
    <col min="12290" max="12290" width="46.85546875" style="1181" customWidth="1"/>
    <col min="12291" max="12291" width="11.28515625" style="1181" bestFit="1" customWidth="1"/>
    <col min="12292" max="12292" width="11.42578125" style="1181" bestFit="1" customWidth="1"/>
    <col min="12293" max="12293" width="11.85546875" style="1181" customWidth="1"/>
    <col min="12294" max="12294" width="10" style="1181" customWidth="1"/>
    <col min="12295" max="12295" width="11.140625" style="1181" customWidth="1"/>
    <col min="12296" max="12296" width="10.28515625" style="1181" bestFit="1" customWidth="1"/>
    <col min="12297" max="12297" width="10.140625" style="1181" bestFit="1" customWidth="1"/>
    <col min="12298" max="12298" width="12" style="1181" bestFit="1" customWidth="1"/>
    <col min="12299" max="12299" width="14.28515625" style="1181" bestFit="1" customWidth="1"/>
    <col min="12300" max="12300" width="13.5703125" style="1181" bestFit="1" customWidth="1"/>
    <col min="12301" max="12301" width="13.85546875" style="1181" bestFit="1" customWidth="1"/>
    <col min="12302" max="12544" width="9.140625" style="1181"/>
    <col min="12545" max="12545" width="4.42578125" style="1181" customWidth="1"/>
    <col min="12546" max="12546" width="46.85546875" style="1181" customWidth="1"/>
    <col min="12547" max="12547" width="11.28515625" style="1181" bestFit="1" customWidth="1"/>
    <col min="12548" max="12548" width="11.42578125" style="1181" bestFit="1" customWidth="1"/>
    <col min="12549" max="12549" width="11.85546875" style="1181" customWidth="1"/>
    <col min="12550" max="12550" width="10" style="1181" customWidth="1"/>
    <col min="12551" max="12551" width="11.140625" style="1181" customWidth="1"/>
    <col min="12552" max="12552" width="10.28515625" style="1181" bestFit="1" customWidth="1"/>
    <col min="12553" max="12553" width="10.140625" style="1181" bestFit="1" customWidth="1"/>
    <col min="12554" max="12554" width="12" style="1181" bestFit="1" customWidth="1"/>
    <col min="12555" max="12555" width="14.28515625" style="1181" bestFit="1" customWidth="1"/>
    <col min="12556" max="12556" width="13.5703125" style="1181" bestFit="1" customWidth="1"/>
    <col min="12557" max="12557" width="13.85546875" style="1181" bestFit="1" customWidth="1"/>
    <col min="12558" max="12800" width="9.140625" style="1181"/>
    <col min="12801" max="12801" width="4.42578125" style="1181" customWidth="1"/>
    <col min="12802" max="12802" width="46.85546875" style="1181" customWidth="1"/>
    <col min="12803" max="12803" width="11.28515625" style="1181" bestFit="1" customWidth="1"/>
    <col min="12804" max="12804" width="11.42578125" style="1181" bestFit="1" customWidth="1"/>
    <col min="12805" max="12805" width="11.85546875" style="1181" customWidth="1"/>
    <col min="12806" max="12806" width="10" style="1181" customWidth="1"/>
    <col min="12807" max="12807" width="11.140625" style="1181" customWidth="1"/>
    <col min="12808" max="12808" width="10.28515625" style="1181" bestFit="1" customWidth="1"/>
    <col min="12809" max="12809" width="10.140625" style="1181" bestFit="1" customWidth="1"/>
    <col min="12810" max="12810" width="12" style="1181" bestFit="1" customWidth="1"/>
    <col min="12811" max="12811" width="14.28515625" style="1181" bestFit="1" customWidth="1"/>
    <col min="12812" max="12812" width="13.5703125" style="1181" bestFit="1" customWidth="1"/>
    <col min="12813" max="12813" width="13.85546875" style="1181" bestFit="1" customWidth="1"/>
    <col min="12814" max="13056" width="9.140625" style="1181"/>
    <col min="13057" max="13057" width="4.42578125" style="1181" customWidth="1"/>
    <col min="13058" max="13058" width="46.85546875" style="1181" customWidth="1"/>
    <col min="13059" max="13059" width="11.28515625" style="1181" bestFit="1" customWidth="1"/>
    <col min="13060" max="13060" width="11.42578125" style="1181" bestFit="1" customWidth="1"/>
    <col min="13061" max="13061" width="11.85546875" style="1181" customWidth="1"/>
    <col min="13062" max="13062" width="10" style="1181" customWidth="1"/>
    <col min="13063" max="13063" width="11.140625" style="1181" customWidth="1"/>
    <col min="13064" max="13064" width="10.28515625" style="1181" bestFit="1" customWidth="1"/>
    <col min="13065" max="13065" width="10.140625" style="1181" bestFit="1" customWidth="1"/>
    <col min="13066" max="13066" width="12" style="1181" bestFit="1" customWidth="1"/>
    <col min="13067" max="13067" width="14.28515625" style="1181" bestFit="1" customWidth="1"/>
    <col min="13068" max="13068" width="13.5703125" style="1181" bestFit="1" customWidth="1"/>
    <col min="13069" max="13069" width="13.85546875" style="1181" bestFit="1" customWidth="1"/>
    <col min="13070" max="13312" width="9.140625" style="1181"/>
    <col min="13313" max="13313" width="4.42578125" style="1181" customWidth="1"/>
    <col min="13314" max="13314" width="46.85546875" style="1181" customWidth="1"/>
    <col min="13315" max="13315" width="11.28515625" style="1181" bestFit="1" customWidth="1"/>
    <col min="13316" max="13316" width="11.42578125" style="1181" bestFit="1" customWidth="1"/>
    <col min="13317" max="13317" width="11.85546875" style="1181" customWidth="1"/>
    <col min="13318" max="13318" width="10" style="1181" customWidth="1"/>
    <col min="13319" max="13319" width="11.140625" style="1181" customWidth="1"/>
    <col min="13320" max="13320" width="10.28515625" style="1181" bestFit="1" customWidth="1"/>
    <col min="13321" max="13321" width="10.140625" style="1181" bestFit="1" customWidth="1"/>
    <col min="13322" max="13322" width="12" style="1181" bestFit="1" customWidth="1"/>
    <col min="13323" max="13323" width="14.28515625" style="1181" bestFit="1" customWidth="1"/>
    <col min="13324" max="13324" width="13.5703125" style="1181" bestFit="1" customWidth="1"/>
    <col min="13325" max="13325" width="13.85546875" style="1181" bestFit="1" customWidth="1"/>
    <col min="13326" max="13568" width="9.140625" style="1181"/>
    <col min="13569" max="13569" width="4.42578125" style="1181" customWidth="1"/>
    <col min="13570" max="13570" width="46.85546875" style="1181" customWidth="1"/>
    <col min="13571" max="13571" width="11.28515625" style="1181" bestFit="1" customWidth="1"/>
    <col min="13572" max="13572" width="11.42578125" style="1181" bestFit="1" customWidth="1"/>
    <col min="13573" max="13573" width="11.85546875" style="1181" customWidth="1"/>
    <col min="13574" max="13574" width="10" style="1181" customWidth="1"/>
    <col min="13575" max="13575" width="11.140625" style="1181" customWidth="1"/>
    <col min="13576" max="13576" width="10.28515625" style="1181" bestFit="1" customWidth="1"/>
    <col min="13577" max="13577" width="10.140625" style="1181" bestFit="1" customWidth="1"/>
    <col min="13578" max="13578" width="12" style="1181" bestFit="1" customWidth="1"/>
    <col min="13579" max="13579" width="14.28515625" style="1181" bestFit="1" customWidth="1"/>
    <col min="13580" max="13580" width="13.5703125" style="1181" bestFit="1" customWidth="1"/>
    <col min="13581" max="13581" width="13.85546875" style="1181" bestFit="1" customWidth="1"/>
    <col min="13582" max="13824" width="9.140625" style="1181"/>
    <col min="13825" max="13825" width="4.42578125" style="1181" customWidth="1"/>
    <col min="13826" max="13826" width="46.85546875" style="1181" customWidth="1"/>
    <col min="13827" max="13827" width="11.28515625" style="1181" bestFit="1" customWidth="1"/>
    <col min="13828" max="13828" width="11.42578125" style="1181" bestFit="1" customWidth="1"/>
    <col min="13829" max="13829" width="11.85546875" style="1181" customWidth="1"/>
    <col min="13830" max="13830" width="10" style="1181" customWidth="1"/>
    <col min="13831" max="13831" width="11.140625" style="1181" customWidth="1"/>
    <col min="13832" max="13832" width="10.28515625" style="1181" bestFit="1" customWidth="1"/>
    <col min="13833" max="13833" width="10.140625" style="1181" bestFit="1" customWidth="1"/>
    <col min="13834" max="13834" width="12" style="1181" bestFit="1" customWidth="1"/>
    <col min="13835" max="13835" width="14.28515625" style="1181" bestFit="1" customWidth="1"/>
    <col min="13836" max="13836" width="13.5703125" style="1181" bestFit="1" customWidth="1"/>
    <col min="13837" max="13837" width="13.85546875" style="1181" bestFit="1" customWidth="1"/>
    <col min="13838" max="14080" width="9.140625" style="1181"/>
    <col min="14081" max="14081" width="4.42578125" style="1181" customWidth="1"/>
    <col min="14082" max="14082" width="46.85546875" style="1181" customWidth="1"/>
    <col min="14083" max="14083" width="11.28515625" style="1181" bestFit="1" customWidth="1"/>
    <col min="14084" max="14084" width="11.42578125" style="1181" bestFit="1" customWidth="1"/>
    <col min="14085" max="14085" width="11.85546875" style="1181" customWidth="1"/>
    <col min="14086" max="14086" width="10" style="1181" customWidth="1"/>
    <col min="14087" max="14087" width="11.140625" style="1181" customWidth="1"/>
    <col min="14088" max="14088" width="10.28515625" style="1181" bestFit="1" customWidth="1"/>
    <col min="14089" max="14089" width="10.140625" style="1181" bestFit="1" customWidth="1"/>
    <col min="14090" max="14090" width="12" style="1181" bestFit="1" customWidth="1"/>
    <col min="14091" max="14091" width="14.28515625" style="1181" bestFit="1" customWidth="1"/>
    <col min="14092" max="14092" width="13.5703125" style="1181" bestFit="1" customWidth="1"/>
    <col min="14093" max="14093" width="13.85546875" style="1181" bestFit="1" customWidth="1"/>
    <col min="14094" max="14336" width="9.140625" style="1181"/>
    <col min="14337" max="14337" width="4.42578125" style="1181" customWidth="1"/>
    <col min="14338" max="14338" width="46.85546875" style="1181" customWidth="1"/>
    <col min="14339" max="14339" width="11.28515625" style="1181" bestFit="1" customWidth="1"/>
    <col min="14340" max="14340" width="11.42578125" style="1181" bestFit="1" customWidth="1"/>
    <col min="14341" max="14341" width="11.85546875" style="1181" customWidth="1"/>
    <col min="14342" max="14342" width="10" style="1181" customWidth="1"/>
    <col min="14343" max="14343" width="11.140625" style="1181" customWidth="1"/>
    <col min="14344" max="14344" width="10.28515625" style="1181" bestFit="1" customWidth="1"/>
    <col min="14345" max="14345" width="10.140625" style="1181" bestFit="1" customWidth="1"/>
    <col min="14346" max="14346" width="12" style="1181" bestFit="1" customWidth="1"/>
    <col min="14347" max="14347" width="14.28515625" style="1181" bestFit="1" customWidth="1"/>
    <col min="14348" max="14348" width="13.5703125" style="1181" bestFit="1" customWidth="1"/>
    <col min="14349" max="14349" width="13.85546875" style="1181" bestFit="1" customWidth="1"/>
    <col min="14350" max="14592" width="9.140625" style="1181"/>
    <col min="14593" max="14593" width="4.42578125" style="1181" customWidth="1"/>
    <col min="14594" max="14594" width="46.85546875" style="1181" customWidth="1"/>
    <col min="14595" max="14595" width="11.28515625" style="1181" bestFit="1" customWidth="1"/>
    <col min="14596" max="14596" width="11.42578125" style="1181" bestFit="1" customWidth="1"/>
    <col min="14597" max="14597" width="11.85546875" style="1181" customWidth="1"/>
    <col min="14598" max="14598" width="10" style="1181" customWidth="1"/>
    <col min="14599" max="14599" width="11.140625" style="1181" customWidth="1"/>
    <col min="14600" max="14600" width="10.28515625" style="1181" bestFit="1" customWidth="1"/>
    <col min="14601" max="14601" width="10.140625" style="1181" bestFit="1" customWidth="1"/>
    <col min="14602" max="14602" width="12" style="1181" bestFit="1" customWidth="1"/>
    <col min="14603" max="14603" width="14.28515625" style="1181" bestFit="1" customWidth="1"/>
    <col min="14604" max="14604" width="13.5703125" style="1181" bestFit="1" customWidth="1"/>
    <col min="14605" max="14605" width="13.85546875" style="1181" bestFit="1" customWidth="1"/>
    <col min="14606" max="14848" width="9.140625" style="1181"/>
    <col min="14849" max="14849" width="4.42578125" style="1181" customWidth="1"/>
    <col min="14850" max="14850" width="46.85546875" style="1181" customWidth="1"/>
    <col min="14851" max="14851" width="11.28515625" style="1181" bestFit="1" customWidth="1"/>
    <col min="14852" max="14852" width="11.42578125" style="1181" bestFit="1" customWidth="1"/>
    <col min="14853" max="14853" width="11.85546875" style="1181" customWidth="1"/>
    <col min="14854" max="14854" width="10" style="1181" customWidth="1"/>
    <col min="14855" max="14855" width="11.140625" style="1181" customWidth="1"/>
    <col min="14856" max="14856" width="10.28515625" style="1181" bestFit="1" customWidth="1"/>
    <col min="14857" max="14857" width="10.140625" style="1181" bestFit="1" customWidth="1"/>
    <col min="14858" max="14858" width="12" style="1181" bestFit="1" customWidth="1"/>
    <col min="14859" max="14859" width="14.28515625" style="1181" bestFit="1" customWidth="1"/>
    <col min="14860" max="14860" width="13.5703125" style="1181" bestFit="1" customWidth="1"/>
    <col min="14861" max="14861" width="13.85546875" style="1181" bestFit="1" customWidth="1"/>
    <col min="14862" max="15104" width="9.140625" style="1181"/>
    <col min="15105" max="15105" width="4.42578125" style="1181" customWidth="1"/>
    <col min="15106" max="15106" width="46.85546875" style="1181" customWidth="1"/>
    <col min="15107" max="15107" width="11.28515625" style="1181" bestFit="1" customWidth="1"/>
    <col min="15108" max="15108" width="11.42578125" style="1181" bestFit="1" customWidth="1"/>
    <col min="15109" max="15109" width="11.85546875" style="1181" customWidth="1"/>
    <col min="15110" max="15110" width="10" style="1181" customWidth="1"/>
    <col min="15111" max="15111" width="11.140625" style="1181" customWidth="1"/>
    <col min="15112" max="15112" width="10.28515625" style="1181" bestFit="1" customWidth="1"/>
    <col min="15113" max="15113" width="10.140625" style="1181" bestFit="1" customWidth="1"/>
    <col min="15114" max="15114" width="12" style="1181" bestFit="1" customWidth="1"/>
    <col min="15115" max="15115" width="14.28515625" style="1181" bestFit="1" customWidth="1"/>
    <col min="15116" max="15116" width="13.5703125" style="1181" bestFit="1" customWidth="1"/>
    <col min="15117" max="15117" width="13.85546875" style="1181" bestFit="1" customWidth="1"/>
    <col min="15118" max="15360" width="9.140625" style="1181"/>
    <col min="15361" max="15361" width="4.42578125" style="1181" customWidth="1"/>
    <col min="15362" max="15362" width="46.85546875" style="1181" customWidth="1"/>
    <col min="15363" max="15363" width="11.28515625" style="1181" bestFit="1" customWidth="1"/>
    <col min="15364" max="15364" width="11.42578125" style="1181" bestFit="1" customWidth="1"/>
    <col min="15365" max="15365" width="11.85546875" style="1181" customWidth="1"/>
    <col min="15366" max="15366" width="10" style="1181" customWidth="1"/>
    <col min="15367" max="15367" width="11.140625" style="1181" customWidth="1"/>
    <col min="15368" max="15368" width="10.28515625" style="1181" bestFit="1" customWidth="1"/>
    <col min="15369" max="15369" width="10.140625" style="1181" bestFit="1" customWidth="1"/>
    <col min="15370" max="15370" width="12" style="1181" bestFit="1" customWidth="1"/>
    <col min="15371" max="15371" width="14.28515625" style="1181" bestFit="1" customWidth="1"/>
    <col min="15372" max="15372" width="13.5703125" style="1181" bestFit="1" customWidth="1"/>
    <col min="15373" max="15373" width="13.85546875" style="1181" bestFit="1" customWidth="1"/>
    <col min="15374" max="15616" width="9.140625" style="1181"/>
    <col min="15617" max="15617" width="4.42578125" style="1181" customWidth="1"/>
    <col min="15618" max="15618" width="46.85546875" style="1181" customWidth="1"/>
    <col min="15619" max="15619" width="11.28515625" style="1181" bestFit="1" customWidth="1"/>
    <col min="15620" max="15620" width="11.42578125" style="1181" bestFit="1" customWidth="1"/>
    <col min="15621" max="15621" width="11.85546875" style="1181" customWidth="1"/>
    <col min="15622" max="15622" width="10" style="1181" customWidth="1"/>
    <col min="15623" max="15623" width="11.140625" style="1181" customWidth="1"/>
    <col min="15624" max="15624" width="10.28515625" style="1181" bestFit="1" customWidth="1"/>
    <col min="15625" max="15625" width="10.140625" style="1181" bestFit="1" customWidth="1"/>
    <col min="15626" max="15626" width="12" style="1181" bestFit="1" customWidth="1"/>
    <col min="15627" max="15627" width="14.28515625" style="1181" bestFit="1" customWidth="1"/>
    <col min="15628" max="15628" width="13.5703125" style="1181" bestFit="1" customWidth="1"/>
    <col min="15629" max="15629" width="13.85546875" style="1181" bestFit="1" customWidth="1"/>
    <col min="15630" max="15872" width="9.140625" style="1181"/>
    <col min="15873" max="15873" width="4.42578125" style="1181" customWidth="1"/>
    <col min="15874" max="15874" width="46.85546875" style="1181" customWidth="1"/>
    <col min="15875" max="15875" width="11.28515625" style="1181" bestFit="1" customWidth="1"/>
    <col min="15876" max="15876" width="11.42578125" style="1181" bestFit="1" customWidth="1"/>
    <col min="15877" max="15877" width="11.85546875" style="1181" customWidth="1"/>
    <col min="15878" max="15878" width="10" style="1181" customWidth="1"/>
    <col min="15879" max="15879" width="11.140625" style="1181" customWidth="1"/>
    <col min="15880" max="15880" width="10.28515625" style="1181" bestFit="1" customWidth="1"/>
    <col min="15881" max="15881" width="10.140625" style="1181" bestFit="1" customWidth="1"/>
    <col min="15882" max="15882" width="12" style="1181" bestFit="1" customWidth="1"/>
    <col min="15883" max="15883" width="14.28515625" style="1181" bestFit="1" customWidth="1"/>
    <col min="15884" max="15884" width="13.5703125" style="1181" bestFit="1" customWidth="1"/>
    <col min="15885" max="15885" width="13.85546875" style="1181" bestFit="1" customWidth="1"/>
    <col min="15886" max="16128" width="9.140625" style="1181"/>
    <col min="16129" max="16129" width="4.42578125" style="1181" customWidth="1"/>
    <col min="16130" max="16130" width="46.85546875" style="1181" customWidth="1"/>
    <col min="16131" max="16131" width="11.28515625" style="1181" bestFit="1" customWidth="1"/>
    <col min="16132" max="16132" width="11.42578125" style="1181" bestFit="1" customWidth="1"/>
    <col min="16133" max="16133" width="11.85546875" style="1181" customWidth="1"/>
    <col min="16134" max="16134" width="10" style="1181" customWidth="1"/>
    <col min="16135" max="16135" width="11.140625" style="1181" customWidth="1"/>
    <col min="16136" max="16136" width="10.28515625" style="1181" bestFit="1" customWidth="1"/>
    <col min="16137" max="16137" width="10.140625" style="1181" bestFit="1" customWidth="1"/>
    <col min="16138" max="16138" width="12" style="1181" bestFit="1" customWidth="1"/>
    <col min="16139" max="16139" width="14.28515625" style="1181" bestFit="1" customWidth="1"/>
    <col min="16140" max="16140" width="13.5703125" style="1181" bestFit="1" customWidth="1"/>
    <col min="16141" max="16141" width="13.85546875" style="1181" bestFit="1" customWidth="1"/>
    <col min="16142" max="16384" width="9.140625" style="1181"/>
  </cols>
  <sheetData>
    <row r="1" spans="1:13" s="1340" customFormat="1" ht="15">
      <c r="H1" s="1341"/>
      <c r="I1" s="1342"/>
      <c r="K1" s="1341"/>
    </row>
    <row r="2" spans="1:13" ht="51" customHeight="1">
      <c r="A2" s="1901" t="s">
        <v>157</v>
      </c>
      <c r="B2" s="1905" t="s">
        <v>1153</v>
      </c>
      <c r="C2" s="1901" t="s">
        <v>1121</v>
      </c>
      <c r="D2" s="1903" t="s">
        <v>1122</v>
      </c>
      <c r="E2" s="1894" t="s">
        <v>1123</v>
      </c>
      <c r="F2" s="1894" t="s">
        <v>1124</v>
      </c>
      <c r="G2" s="1894" t="s">
        <v>1125</v>
      </c>
      <c r="H2" s="1895" t="s">
        <v>1126</v>
      </c>
      <c r="I2" s="1897" t="s">
        <v>1127</v>
      </c>
      <c r="J2" s="1899" t="s">
        <v>1128</v>
      </c>
      <c r="K2" s="1890" t="s">
        <v>1129</v>
      </c>
      <c r="L2" s="1890" t="s">
        <v>909</v>
      </c>
      <c r="M2" s="1890" t="s">
        <v>1130</v>
      </c>
    </row>
    <row r="3" spans="1:13" ht="130.5" customHeight="1">
      <c r="A3" s="1902"/>
      <c r="B3" s="1901"/>
      <c r="C3" s="1901"/>
      <c r="D3" s="1904"/>
      <c r="E3" s="1894"/>
      <c r="F3" s="1894"/>
      <c r="G3" s="1894"/>
      <c r="H3" s="1896"/>
      <c r="I3" s="1898"/>
      <c r="J3" s="1900"/>
      <c r="K3" s="1891"/>
      <c r="L3" s="1891"/>
      <c r="M3" s="1891"/>
    </row>
    <row r="4" spans="1:13" ht="15">
      <c r="A4" s="1343"/>
      <c r="B4" s="1344"/>
      <c r="C4" s="1344">
        <v>1</v>
      </c>
      <c r="D4" s="1344">
        <f t="shared" ref="D4:M4" si="0">C4+1</f>
        <v>2</v>
      </c>
      <c r="E4" s="1344">
        <f t="shared" si="0"/>
        <v>3</v>
      </c>
      <c r="F4" s="1344">
        <f t="shared" si="0"/>
        <v>4</v>
      </c>
      <c r="G4" s="1344">
        <f t="shared" si="0"/>
        <v>5</v>
      </c>
      <c r="H4" s="1344">
        <f t="shared" si="0"/>
        <v>6</v>
      </c>
      <c r="I4" s="1344">
        <f t="shared" si="0"/>
        <v>7</v>
      </c>
      <c r="J4" s="1344">
        <f t="shared" si="0"/>
        <v>8</v>
      </c>
      <c r="K4" s="1344">
        <f t="shared" si="0"/>
        <v>9</v>
      </c>
      <c r="L4" s="1344">
        <f t="shared" si="0"/>
        <v>10</v>
      </c>
      <c r="M4" s="1344">
        <f t="shared" si="0"/>
        <v>11</v>
      </c>
    </row>
    <row r="5" spans="1:13" s="1350" customFormat="1" ht="43.5">
      <c r="A5" s="1343"/>
      <c r="B5" s="1344"/>
      <c r="C5" s="1345" t="s">
        <v>1148</v>
      </c>
      <c r="D5" s="1346" t="s">
        <v>1132</v>
      </c>
      <c r="E5" s="1346" t="s">
        <v>1133</v>
      </c>
      <c r="F5" s="1345" t="s">
        <v>1149</v>
      </c>
      <c r="G5" s="1345" t="s">
        <v>1150</v>
      </c>
      <c r="H5" s="1347" t="s">
        <v>1136</v>
      </c>
      <c r="I5" s="1348" t="s">
        <v>1137</v>
      </c>
      <c r="J5" s="1347" t="s">
        <v>1151</v>
      </c>
      <c r="K5" s="1349" t="s">
        <v>1139</v>
      </c>
      <c r="L5" s="1345" t="s">
        <v>1140</v>
      </c>
      <c r="M5" s="1345" t="s">
        <v>1141</v>
      </c>
    </row>
    <row r="6" spans="1:13" ht="14.25">
      <c r="A6" s="1186">
        <v>1</v>
      </c>
      <c r="B6" s="1186" t="s">
        <v>911</v>
      </c>
      <c r="C6" s="1351">
        <f>'Table 5C3 - LA Connections  '!C5</f>
        <v>4</v>
      </c>
      <c r="D6" s="1351">
        <f>[14]Sheet1!$K5</f>
        <v>10</v>
      </c>
      <c r="E6" s="1352">
        <f>D6-C6</f>
        <v>6</v>
      </c>
      <c r="F6" s="1352">
        <f>IF(E6&gt;0,E6,0)</f>
        <v>6</v>
      </c>
      <c r="G6" s="1352">
        <f>IF(E6&lt;0,E6,0)</f>
        <v>0</v>
      </c>
      <c r="H6" s="1353">
        <f>'Table 5C3 - LA Connections  '!D5</f>
        <v>4209.3</v>
      </c>
      <c r="I6" s="1353">
        <f>'Table 5C3 - LA Connections  '!F5</f>
        <v>699.73200000000008</v>
      </c>
      <c r="J6" s="1353">
        <f>I6+H6</f>
        <v>4909.0320000000002</v>
      </c>
      <c r="K6" s="1354">
        <f>E6*J6</f>
        <v>29454.192000000003</v>
      </c>
      <c r="L6" s="1353">
        <f>IF(K6&gt;0,K6,0)</f>
        <v>29454.192000000003</v>
      </c>
      <c r="M6" s="1353">
        <f>IF(K6&lt;0,K6,0)</f>
        <v>0</v>
      </c>
    </row>
    <row r="7" spans="1:13" ht="14.25">
      <c r="A7" s="1186">
        <v>2</v>
      </c>
      <c r="B7" s="1186" t="s">
        <v>912</v>
      </c>
      <c r="C7" s="1351">
        <f>'Table 5C3 - LA Connections  '!C6</f>
        <v>1</v>
      </c>
      <c r="D7" s="1351">
        <f>[14]Sheet1!$K6</f>
        <v>2</v>
      </c>
      <c r="E7" s="1352">
        <f t="shared" ref="E7:E70" si="1">D7-C7</f>
        <v>1</v>
      </c>
      <c r="F7" s="1352">
        <f t="shared" ref="F7:F70" si="2">IF(E7&gt;0,E7,0)</f>
        <v>1</v>
      </c>
      <c r="G7" s="1352">
        <f t="shared" ref="G7:G70" si="3">IF(E7&lt;0,E7,0)</f>
        <v>0</v>
      </c>
      <c r="H7" s="1353">
        <f>'Table 5C3 - LA Connections  '!D6</f>
        <v>5444.7660898101512</v>
      </c>
      <c r="I7" s="1353">
        <f>'Table 5C3 - LA Connections  '!F6</f>
        <v>758.08800000000008</v>
      </c>
      <c r="J7" s="1353">
        <f t="shared" ref="J7:J70" si="4">I7+H7</f>
        <v>6202.854089810151</v>
      </c>
      <c r="K7" s="1354">
        <f t="shared" ref="K7:K70" si="5">E7*J7</f>
        <v>6202.854089810151</v>
      </c>
      <c r="L7" s="1353">
        <f t="shared" ref="L7:L70" si="6">IF(K7&gt;0,K7,0)</f>
        <v>6202.854089810151</v>
      </c>
      <c r="M7" s="1353">
        <f t="shared" ref="M7:M70" si="7">IF(K7&lt;0,K7,0)</f>
        <v>0</v>
      </c>
    </row>
    <row r="8" spans="1:13" ht="14.25">
      <c r="A8" s="1186">
        <v>3</v>
      </c>
      <c r="B8" s="1186" t="s">
        <v>913</v>
      </c>
      <c r="C8" s="1351">
        <f>'Table 5C3 - LA Connections  '!C7</f>
        <v>11</v>
      </c>
      <c r="D8" s="1355">
        <f>[14]Sheet1!$K7</f>
        <v>12</v>
      </c>
      <c r="E8" s="1352">
        <f t="shared" si="1"/>
        <v>1</v>
      </c>
      <c r="F8" s="1352">
        <f t="shared" si="2"/>
        <v>1</v>
      </c>
      <c r="G8" s="1352">
        <f t="shared" si="3"/>
        <v>0</v>
      </c>
      <c r="H8" s="1353">
        <f>'Table 5C3 - LA Connections  '!D7</f>
        <v>3712.0903724597265</v>
      </c>
      <c r="I8" s="1356">
        <f>'Table 5C3 - LA Connections  '!F7</f>
        <v>537.15600000000006</v>
      </c>
      <c r="J8" s="1356">
        <f t="shared" si="4"/>
        <v>4249.2463724597264</v>
      </c>
      <c r="K8" s="1354">
        <f t="shared" si="5"/>
        <v>4249.2463724597264</v>
      </c>
      <c r="L8" s="1356">
        <f t="shared" si="6"/>
        <v>4249.2463724597264</v>
      </c>
      <c r="M8" s="1356">
        <f t="shared" si="7"/>
        <v>0</v>
      </c>
    </row>
    <row r="9" spans="1:13" ht="14.25">
      <c r="A9" s="1186">
        <v>4</v>
      </c>
      <c r="B9" s="1186" t="s">
        <v>914</v>
      </c>
      <c r="C9" s="1351">
        <f>'Table 5C3 - LA Connections  '!C8</f>
        <v>2</v>
      </c>
      <c r="D9" s="1355">
        <f>[14]Sheet1!$K8</f>
        <v>4</v>
      </c>
      <c r="E9" s="1352">
        <f t="shared" si="1"/>
        <v>2</v>
      </c>
      <c r="F9" s="1352">
        <f t="shared" si="2"/>
        <v>2</v>
      </c>
      <c r="G9" s="1352">
        <f t="shared" si="3"/>
        <v>0</v>
      </c>
      <c r="H9" s="1353">
        <f>'Table 5C3 - LA Connections  '!D8</f>
        <v>5437.7563294083247</v>
      </c>
      <c r="I9" s="1356">
        <f>'Table 5C3 - LA Connections  '!F8</f>
        <v>527.18399999999997</v>
      </c>
      <c r="J9" s="1356">
        <f t="shared" si="4"/>
        <v>5964.9403294083249</v>
      </c>
      <c r="K9" s="1354">
        <f t="shared" si="5"/>
        <v>11929.88065881665</v>
      </c>
      <c r="L9" s="1356">
        <f t="shared" si="6"/>
        <v>11929.88065881665</v>
      </c>
      <c r="M9" s="1356">
        <f t="shared" si="7"/>
        <v>0</v>
      </c>
    </row>
    <row r="10" spans="1:13" ht="14.25">
      <c r="A10" s="1192">
        <v>5</v>
      </c>
      <c r="B10" s="1192" t="s">
        <v>915</v>
      </c>
      <c r="C10" s="1357">
        <f>'Table 5C3 - LA Connections  '!C9</f>
        <v>13</v>
      </c>
      <c r="D10" s="1358">
        <f>[14]Sheet1!$K9</f>
        <v>5</v>
      </c>
      <c r="E10" s="1359">
        <f t="shared" si="1"/>
        <v>-8</v>
      </c>
      <c r="F10" s="1359">
        <f t="shared" si="2"/>
        <v>0</v>
      </c>
      <c r="G10" s="1359">
        <f t="shared" si="3"/>
        <v>-8</v>
      </c>
      <c r="H10" s="1360">
        <f>'Table 5C3 - LA Connections  '!D9</f>
        <v>4392.6597520963815</v>
      </c>
      <c r="I10" s="1361">
        <f>'Table 5C3 - LA Connections  '!F9</f>
        <v>500.31899999999996</v>
      </c>
      <c r="J10" s="1361">
        <f t="shared" si="4"/>
        <v>4892.9787520963819</v>
      </c>
      <c r="K10" s="1362">
        <f t="shared" si="5"/>
        <v>-39143.830016771055</v>
      </c>
      <c r="L10" s="1361">
        <f t="shared" si="6"/>
        <v>0</v>
      </c>
      <c r="M10" s="1361">
        <f t="shared" si="7"/>
        <v>-39143.830016771055</v>
      </c>
    </row>
    <row r="11" spans="1:13" ht="14.25">
      <c r="A11" s="1186">
        <v>6</v>
      </c>
      <c r="B11" s="1186" t="s">
        <v>916</v>
      </c>
      <c r="C11" s="1351">
        <f>'Table 5C3 - LA Connections  '!C10</f>
        <v>5</v>
      </c>
      <c r="D11" s="1351">
        <f>[14]Sheet1!$K10</f>
        <v>3</v>
      </c>
      <c r="E11" s="1352">
        <f t="shared" si="1"/>
        <v>-2</v>
      </c>
      <c r="F11" s="1352">
        <f t="shared" si="2"/>
        <v>0</v>
      </c>
      <c r="G11" s="1352">
        <f t="shared" si="3"/>
        <v>-2</v>
      </c>
      <c r="H11" s="1353">
        <f>'Table 5C3 - LA Connections  '!D10</f>
        <v>5072.3139727898033</v>
      </c>
      <c r="I11" s="1353">
        <f>'Table 5C3 - LA Connections  '!F10</f>
        <v>490.9319999999999</v>
      </c>
      <c r="J11" s="1353">
        <f t="shared" si="4"/>
        <v>5563.2459727898031</v>
      </c>
      <c r="K11" s="1354">
        <f t="shared" si="5"/>
        <v>-11126.491945579606</v>
      </c>
      <c r="L11" s="1353">
        <f t="shared" si="6"/>
        <v>0</v>
      </c>
      <c r="M11" s="1353">
        <f t="shared" si="7"/>
        <v>-11126.491945579606</v>
      </c>
    </row>
    <row r="12" spans="1:13" ht="14.25">
      <c r="A12" s="1186">
        <v>7</v>
      </c>
      <c r="B12" s="1186" t="s">
        <v>917</v>
      </c>
      <c r="C12" s="1351">
        <f>'Table 5C3 - LA Connections  '!C11</f>
        <v>0</v>
      </c>
      <c r="D12" s="1351">
        <f>[14]Sheet1!$K11</f>
        <v>5</v>
      </c>
      <c r="E12" s="1352">
        <f t="shared" si="1"/>
        <v>5</v>
      </c>
      <c r="F12" s="1352">
        <f t="shared" si="2"/>
        <v>5</v>
      </c>
      <c r="G12" s="1352">
        <f t="shared" si="3"/>
        <v>0</v>
      </c>
      <c r="H12" s="1353">
        <f>'Table 5C3 - LA Connections  '!D11</f>
        <v>1385.9737278509767</v>
      </c>
      <c r="I12" s="1353">
        <f>'Table 5C3 - LA Connections  '!F11</f>
        <v>681.22799999999984</v>
      </c>
      <c r="J12" s="1353">
        <f t="shared" si="4"/>
        <v>2067.2017278509766</v>
      </c>
      <c r="K12" s="1354">
        <f t="shared" si="5"/>
        <v>10336.008639254884</v>
      </c>
      <c r="L12" s="1353">
        <f t="shared" si="6"/>
        <v>10336.008639254884</v>
      </c>
      <c r="M12" s="1353">
        <f t="shared" si="7"/>
        <v>0</v>
      </c>
    </row>
    <row r="13" spans="1:13" ht="14.25">
      <c r="A13" s="1186">
        <v>8</v>
      </c>
      <c r="B13" s="1186" t="s">
        <v>918</v>
      </c>
      <c r="C13" s="1351">
        <f>'Table 5C3 - LA Connections  '!C12</f>
        <v>16</v>
      </c>
      <c r="D13" s="1355">
        <f>[14]Sheet1!$K12</f>
        <v>16</v>
      </c>
      <c r="E13" s="1352">
        <f t="shared" si="1"/>
        <v>0</v>
      </c>
      <c r="F13" s="1352">
        <f t="shared" si="2"/>
        <v>0</v>
      </c>
      <c r="G13" s="1352">
        <f t="shared" si="3"/>
        <v>0</v>
      </c>
      <c r="H13" s="1353">
        <f>'Table 5C3 - LA Connections  '!D12</f>
        <v>3601.2056558252466</v>
      </c>
      <c r="I13" s="1356">
        <f>'Table 5C3 - LA Connections  '!F12</f>
        <v>653.18399999999997</v>
      </c>
      <c r="J13" s="1356">
        <f t="shared" si="4"/>
        <v>4254.3896558252463</v>
      </c>
      <c r="K13" s="1354">
        <f t="shared" si="5"/>
        <v>0</v>
      </c>
      <c r="L13" s="1356">
        <f t="shared" si="6"/>
        <v>0</v>
      </c>
      <c r="M13" s="1356">
        <f t="shared" si="7"/>
        <v>0</v>
      </c>
    </row>
    <row r="14" spans="1:13" ht="14.25">
      <c r="A14" s="1186">
        <v>9</v>
      </c>
      <c r="B14" s="1186" t="s">
        <v>919</v>
      </c>
      <c r="C14" s="1355">
        <f>'Table 5C3 - LA Connections  '!C13</f>
        <v>38</v>
      </c>
      <c r="D14" s="1355">
        <f>[14]Sheet1!$K13</f>
        <v>37</v>
      </c>
      <c r="E14" s="1352">
        <f t="shared" si="1"/>
        <v>-1</v>
      </c>
      <c r="F14" s="1352">
        <f t="shared" si="2"/>
        <v>0</v>
      </c>
      <c r="G14" s="1352">
        <f t="shared" si="3"/>
        <v>-1</v>
      </c>
      <c r="H14" s="1356">
        <f>'Table 5C3 - LA Connections  '!D13</f>
        <v>3946.4201542979081</v>
      </c>
      <c r="I14" s="1356">
        <f>'Table 5C3 - LA Connections  '!F13</f>
        <v>670.28399999999999</v>
      </c>
      <c r="J14" s="1356">
        <f t="shared" si="4"/>
        <v>4616.7041542979077</v>
      </c>
      <c r="K14" s="1354">
        <f t="shared" si="5"/>
        <v>-4616.7041542979077</v>
      </c>
      <c r="L14" s="1365">
        <f t="shared" si="6"/>
        <v>0</v>
      </c>
      <c r="M14" s="1365">
        <f t="shared" si="7"/>
        <v>-4616.7041542979077</v>
      </c>
    </row>
    <row r="15" spans="1:13" ht="14.25">
      <c r="A15" s="1192">
        <v>10</v>
      </c>
      <c r="B15" s="1192" t="s">
        <v>686</v>
      </c>
      <c r="C15" s="1358">
        <f>'Table 5C3 - LA Connections  '!C14</f>
        <v>45</v>
      </c>
      <c r="D15" s="1358">
        <f>[14]Sheet1!$K14</f>
        <v>28</v>
      </c>
      <c r="E15" s="1359">
        <f t="shared" si="1"/>
        <v>-17</v>
      </c>
      <c r="F15" s="1359">
        <f t="shared" si="2"/>
        <v>0</v>
      </c>
      <c r="G15" s="1359">
        <f t="shared" si="3"/>
        <v>-17</v>
      </c>
      <c r="H15" s="1361">
        <f>'Table 5C3 - LA Connections  '!D14</f>
        <v>3880.929874751208</v>
      </c>
      <c r="I15" s="1361">
        <f>'Table 5C3 - LA Connections  '!F14</f>
        <v>547.2360000000001</v>
      </c>
      <c r="J15" s="1361">
        <f t="shared" si="4"/>
        <v>4428.1658747512083</v>
      </c>
      <c r="K15" s="1362">
        <f t="shared" si="5"/>
        <v>-75278.819870770545</v>
      </c>
      <c r="L15" s="1366">
        <f t="shared" si="6"/>
        <v>0</v>
      </c>
      <c r="M15" s="1366">
        <f t="shared" si="7"/>
        <v>-75278.819870770545</v>
      </c>
    </row>
    <row r="16" spans="1:13" ht="14.25">
      <c r="A16" s="1186">
        <v>11</v>
      </c>
      <c r="B16" s="1186" t="s">
        <v>920</v>
      </c>
      <c r="C16" s="1355">
        <f>'Table 5C3 - LA Connections  '!C15</f>
        <v>0</v>
      </c>
      <c r="D16" s="1351">
        <f>[14]Sheet1!$K15</f>
        <v>0</v>
      </c>
      <c r="E16" s="1352">
        <f t="shared" si="1"/>
        <v>0</v>
      </c>
      <c r="F16" s="1352">
        <f t="shared" si="2"/>
        <v>0</v>
      </c>
      <c r="G16" s="1352">
        <f t="shared" si="3"/>
        <v>0</v>
      </c>
      <c r="H16" s="1353">
        <f>'Table 5C3 - LA Connections  '!D15</f>
        <v>6000.6277483637386</v>
      </c>
      <c r="I16" s="1353">
        <f>'Table 5C3 - LA Connections  '!F15</f>
        <v>635.89499999999998</v>
      </c>
      <c r="J16" s="1353">
        <f t="shared" si="4"/>
        <v>6636.5227483637391</v>
      </c>
      <c r="K16" s="1354">
        <f t="shared" si="5"/>
        <v>0</v>
      </c>
      <c r="L16" s="1365">
        <f t="shared" si="6"/>
        <v>0</v>
      </c>
      <c r="M16" s="1365">
        <f t="shared" si="7"/>
        <v>0</v>
      </c>
    </row>
    <row r="17" spans="1:13" ht="14.25">
      <c r="A17" s="1186">
        <v>12</v>
      </c>
      <c r="B17" s="1186" t="s">
        <v>921</v>
      </c>
      <c r="C17" s="1355">
        <f>'Table 5C3 - LA Connections  '!C16</f>
        <v>0</v>
      </c>
      <c r="D17" s="1351">
        <f>[14]Sheet1!$K16</f>
        <v>2</v>
      </c>
      <c r="E17" s="1352">
        <f t="shared" si="1"/>
        <v>2</v>
      </c>
      <c r="F17" s="1352">
        <f t="shared" si="2"/>
        <v>2</v>
      </c>
      <c r="G17" s="1352">
        <f t="shared" si="3"/>
        <v>0</v>
      </c>
      <c r="H17" s="1353">
        <f>'Table 5C3 - LA Connections  '!D16</f>
        <v>1463.8737701612904</v>
      </c>
      <c r="I17" s="1353">
        <f>'Table 5C3 - LA Connections  '!F16</f>
        <v>956.97899999999993</v>
      </c>
      <c r="J17" s="1353">
        <f t="shared" si="4"/>
        <v>2420.8527701612902</v>
      </c>
      <c r="K17" s="1354">
        <f t="shared" si="5"/>
        <v>4841.7055403225804</v>
      </c>
      <c r="L17" s="1365">
        <f t="shared" si="6"/>
        <v>4841.7055403225804</v>
      </c>
      <c r="M17" s="1365">
        <f t="shared" si="7"/>
        <v>0</v>
      </c>
    </row>
    <row r="18" spans="1:13" ht="14.25">
      <c r="A18" s="1186">
        <v>13</v>
      </c>
      <c r="B18" s="1186" t="s">
        <v>922</v>
      </c>
      <c r="C18" s="1355">
        <f>'Table 5C3 - LA Connections  '!C17</f>
        <v>1</v>
      </c>
      <c r="D18" s="1355">
        <f>[14]Sheet1!$K17</f>
        <v>2</v>
      </c>
      <c r="E18" s="1352">
        <f t="shared" si="1"/>
        <v>1</v>
      </c>
      <c r="F18" s="1352">
        <f t="shared" si="2"/>
        <v>1</v>
      </c>
      <c r="G18" s="1352">
        <f t="shared" si="3"/>
        <v>0</v>
      </c>
      <c r="H18" s="1356">
        <f>'Table 5C3 - LA Connections  '!D17</f>
        <v>5378.4402697520791</v>
      </c>
      <c r="I18" s="1356">
        <f>'Table 5C3 - LA Connections  '!F17</f>
        <v>674.48700000000008</v>
      </c>
      <c r="J18" s="1356">
        <f t="shared" si="4"/>
        <v>6052.9272697520792</v>
      </c>
      <c r="K18" s="1354">
        <f t="shared" si="5"/>
        <v>6052.9272697520792</v>
      </c>
      <c r="L18" s="1365">
        <f t="shared" si="6"/>
        <v>6052.9272697520792</v>
      </c>
      <c r="M18" s="1365">
        <f t="shared" si="7"/>
        <v>0</v>
      </c>
    </row>
    <row r="19" spans="1:13" ht="14.25">
      <c r="A19" s="1186">
        <v>14</v>
      </c>
      <c r="B19" s="1186" t="s">
        <v>923</v>
      </c>
      <c r="C19" s="1355">
        <f>'Table 5C3 - LA Connections  '!C18</f>
        <v>3</v>
      </c>
      <c r="D19" s="1355">
        <f>[14]Sheet1!$K18</f>
        <v>7</v>
      </c>
      <c r="E19" s="1352">
        <f t="shared" si="1"/>
        <v>4</v>
      </c>
      <c r="F19" s="1352">
        <f t="shared" si="2"/>
        <v>4</v>
      </c>
      <c r="G19" s="1352">
        <f t="shared" si="3"/>
        <v>0</v>
      </c>
      <c r="H19" s="1356">
        <f>'Table 5C3 - LA Connections  '!D18</f>
        <v>5174.0803150666798</v>
      </c>
      <c r="I19" s="1356">
        <f>'Table 5C3 - LA Connections  '!F18</f>
        <v>728.98199999999997</v>
      </c>
      <c r="J19" s="1356">
        <f t="shared" si="4"/>
        <v>5903.0623150666797</v>
      </c>
      <c r="K19" s="1354">
        <f t="shared" si="5"/>
        <v>23612.249260266719</v>
      </c>
      <c r="L19" s="1365">
        <f t="shared" si="6"/>
        <v>23612.249260266719</v>
      </c>
      <c r="M19" s="1365">
        <f t="shared" si="7"/>
        <v>0</v>
      </c>
    </row>
    <row r="20" spans="1:13" ht="14.25">
      <c r="A20" s="1192">
        <v>15</v>
      </c>
      <c r="B20" s="1192" t="s">
        <v>924</v>
      </c>
      <c r="C20" s="1358">
        <f>'Table 5C3 - LA Connections  '!C19</f>
        <v>0</v>
      </c>
      <c r="D20" s="1358">
        <f>[14]Sheet1!$K19</f>
        <v>1</v>
      </c>
      <c r="E20" s="1359">
        <f t="shared" si="1"/>
        <v>1</v>
      </c>
      <c r="F20" s="1359">
        <f t="shared" si="2"/>
        <v>1</v>
      </c>
      <c r="G20" s="1359">
        <f t="shared" si="3"/>
        <v>0</v>
      </c>
      <c r="H20" s="1361">
        <f>'Table 5C3 - LA Connections  '!D19</f>
        <v>4858.7192769100766</v>
      </c>
      <c r="I20" s="1361">
        <f>'Table 5C3 - LA Connections  '!F19</f>
        <v>498.41999999999996</v>
      </c>
      <c r="J20" s="1361">
        <f t="shared" si="4"/>
        <v>5357.1392769100767</v>
      </c>
      <c r="K20" s="1362">
        <f t="shared" si="5"/>
        <v>5357.1392769100767</v>
      </c>
      <c r="L20" s="1366">
        <f t="shared" si="6"/>
        <v>5357.1392769100767</v>
      </c>
      <c r="M20" s="1366">
        <f t="shared" si="7"/>
        <v>0</v>
      </c>
    </row>
    <row r="21" spans="1:13" ht="14.25">
      <c r="A21" s="1186">
        <v>16</v>
      </c>
      <c r="B21" s="1186" t="s">
        <v>925</v>
      </c>
      <c r="C21" s="1367">
        <f>'Table 5C3 - LA Connections  '!C20</f>
        <v>1</v>
      </c>
      <c r="D21" s="1351">
        <f>[14]Sheet1!$K20</f>
        <v>1</v>
      </c>
      <c r="E21" s="1352">
        <f t="shared" si="1"/>
        <v>0</v>
      </c>
      <c r="F21" s="1352">
        <f t="shared" si="2"/>
        <v>0</v>
      </c>
      <c r="G21" s="1352">
        <f t="shared" si="3"/>
        <v>0</v>
      </c>
      <c r="H21" s="1353">
        <f>'Table 5C3 - LA Connections  '!D20</f>
        <v>1361.8761225144324</v>
      </c>
      <c r="I21" s="1353">
        <f>'Table 5C3 - LA Connections  '!F20</f>
        <v>618.05700000000002</v>
      </c>
      <c r="J21" s="1353">
        <f t="shared" si="4"/>
        <v>1979.9331225144324</v>
      </c>
      <c r="K21" s="1354">
        <f t="shared" si="5"/>
        <v>0</v>
      </c>
      <c r="L21" s="1365">
        <f t="shared" si="6"/>
        <v>0</v>
      </c>
      <c r="M21" s="1365">
        <f t="shared" si="7"/>
        <v>0</v>
      </c>
    </row>
    <row r="22" spans="1:13" ht="14.25">
      <c r="A22" s="1186">
        <v>17</v>
      </c>
      <c r="B22" s="1186" t="s">
        <v>639</v>
      </c>
      <c r="C22" s="1355">
        <f>'Table 5C3 - LA Connections  '!C21</f>
        <v>47</v>
      </c>
      <c r="D22" s="1355">
        <f>[14]Sheet1!$K21</f>
        <v>54</v>
      </c>
      <c r="E22" s="1352">
        <f t="shared" si="1"/>
        <v>7</v>
      </c>
      <c r="F22" s="1352">
        <f t="shared" si="2"/>
        <v>7</v>
      </c>
      <c r="G22" s="1352">
        <f t="shared" si="3"/>
        <v>0</v>
      </c>
      <c r="H22" s="1356">
        <f>'Table 5C3 - LA Connections  '!D21</f>
        <v>2940.1220784729112</v>
      </c>
      <c r="I22" s="1356">
        <f>'Table 5C3 - LA Connections  '!F21</f>
        <v>721.32986175126121</v>
      </c>
      <c r="J22" s="1356">
        <f t="shared" si="4"/>
        <v>3661.4519402241722</v>
      </c>
      <c r="K22" s="1354">
        <f t="shared" si="5"/>
        <v>25630.163581569206</v>
      </c>
      <c r="L22" s="1365">
        <f t="shared" si="6"/>
        <v>25630.163581569206</v>
      </c>
      <c r="M22" s="1365">
        <f t="shared" si="7"/>
        <v>0</v>
      </c>
    </row>
    <row r="23" spans="1:13" ht="14.25">
      <c r="A23" s="1186">
        <v>18</v>
      </c>
      <c r="B23" s="1186" t="s">
        <v>926</v>
      </c>
      <c r="C23" s="1355">
        <f>'Table 5C3 - LA Connections  '!C22</f>
        <v>1</v>
      </c>
      <c r="D23" s="1355">
        <f>[14]Sheet1!$K22</f>
        <v>0</v>
      </c>
      <c r="E23" s="1352">
        <f t="shared" si="1"/>
        <v>-1</v>
      </c>
      <c r="F23" s="1352">
        <f t="shared" si="2"/>
        <v>0</v>
      </c>
      <c r="G23" s="1352">
        <f t="shared" si="3"/>
        <v>-1</v>
      </c>
      <c r="H23" s="1356">
        <f>'Table 5C3 - LA Connections  '!D22</f>
        <v>5192.4109119662935</v>
      </c>
      <c r="I23" s="1356">
        <f>'Table 5C3 - LA Connections  '!F22</f>
        <v>761.3549999999999</v>
      </c>
      <c r="J23" s="1356">
        <f t="shared" si="4"/>
        <v>5953.7659119662931</v>
      </c>
      <c r="K23" s="1354">
        <f t="shared" si="5"/>
        <v>-5953.7659119662931</v>
      </c>
      <c r="L23" s="1365">
        <f t="shared" si="6"/>
        <v>0</v>
      </c>
      <c r="M23" s="1365">
        <f t="shared" si="7"/>
        <v>-5953.7659119662931</v>
      </c>
    </row>
    <row r="24" spans="1:13" ht="14.25">
      <c r="A24" s="1186">
        <v>19</v>
      </c>
      <c r="B24" s="1186" t="s">
        <v>927</v>
      </c>
      <c r="C24" s="1355">
        <f>'Table 5C3 - LA Connections  '!C23</f>
        <v>0</v>
      </c>
      <c r="D24" s="1355">
        <f>[14]Sheet1!$K23</f>
        <v>4</v>
      </c>
      <c r="E24" s="1352">
        <f t="shared" si="1"/>
        <v>4</v>
      </c>
      <c r="F24" s="1352">
        <f t="shared" si="2"/>
        <v>4</v>
      </c>
      <c r="G24" s="1352">
        <f t="shared" si="3"/>
        <v>0</v>
      </c>
      <c r="H24" s="1356">
        <f>'Table 5C3 - LA Connections  '!D23</f>
        <v>4683.746652806537</v>
      </c>
      <c r="I24" s="1356">
        <f>'Table 5C3 - LA Connections  '!F23</f>
        <v>814.88699999999994</v>
      </c>
      <c r="J24" s="1356">
        <f t="shared" si="4"/>
        <v>5498.6336528065367</v>
      </c>
      <c r="K24" s="1354">
        <f t="shared" si="5"/>
        <v>21994.534611226147</v>
      </c>
      <c r="L24" s="1365">
        <f t="shared" si="6"/>
        <v>21994.534611226147</v>
      </c>
      <c r="M24" s="1365">
        <f t="shared" si="7"/>
        <v>0</v>
      </c>
    </row>
    <row r="25" spans="1:13" ht="14.25">
      <c r="A25" s="1192">
        <v>20</v>
      </c>
      <c r="B25" s="1192" t="s">
        <v>928</v>
      </c>
      <c r="C25" s="1358">
        <f>'Table 5C3 - LA Connections  '!C24</f>
        <v>1</v>
      </c>
      <c r="D25" s="1358">
        <f>[14]Sheet1!$K24</f>
        <v>1</v>
      </c>
      <c r="E25" s="1359">
        <f t="shared" si="1"/>
        <v>0</v>
      </c>
      <c r="F25" s="1359">
        <f t="shared" si="2"/>
        <v>0</v>
      </c>
      <c r="G25" s="1359">
        <f t="shared" si="3"/>
        <v>0</v>
      </c>
      <c r="H25" s="1361">
        <f>'Table 5C3 - LA Connections  '!D24</f>
        <v>4894.3760417440953</v>
      </c>
      <c r="I25" s="1361">
        <f>'Table 5C3 - LA Connections  '!F24</f>
        <v>527.553</v>
      </c>
      <c r="J25" s="1361">
        <f t="shared" si="4"/>
        <v>5421.9290417440952</v>
      </c>
      <c r="K25" s="1362">
        <f t="shared" si="5"/>
        <v>0</v>
      </c>
      <c r="L25" s="1366">
        <f t="shared" si="6"/>
        <v>0</v>
      </c>
      <c r="M25" s="1366">
        <f t="shared" si="7"/>
        <v>0</v>
      </c>
    </row>
    <row r="26" spans="1:13" ht="14.25">
      <c r="A26" s="1186">
        <v>21</v>
      </c>
      <c r="B26" s="1186" t="s">
        <v>929</v>
      </c>
      <c r="C26" s="1355">
        <f>'Table 5C3 - LA Connections  '!C25</f>
        <v>5</v>
      </c>
      <c r="D26" s="1351">
        <f>[14]Sheet1!$K25</f>
        <v>7</v>
      </c>
      <c r="E26" s="1352">
        <f t="shared" si="1"/>
        <v>2</v>
      </c>
      <c r="F26" s="1352">
        <f t="shared" si="2"/>
        <v>2</v>
      </c>
      <c r="G26" s="1352">
        <f t="shared" si="3"/>
        <v>0</v>
      </c>
      <c r="H26" s="1353">
        <f>'Table 5C3 - LA Connections  '!D25</f>
        <v>5057.195413422467</v>
      </c>
      <c r="I26" s="1353">
        <f>'Table 5C3 - LA Connections  '!F25</f>
        <v>549.31500000000005</v>
      </c>
      <c r="J26" s="1353">
        <f t="shared" si="4"/>
        <v>5606.5104134224675</v>
      </c>
      <c r="K26" s="1354">
        <f t="shared" si="5"/>
        <v>11213.020826844935</v>
      </c>
      <c r="L26" s="1365">
        <f t="shared" si="6"/>
        <v>11213.020826844935</v>
      </c>
      <c r="M26" s="1365">
        <f t="shared" si="7"/>
        <v>0</v>
      </c>
    </row>
    <row r="27" spans="1:13" ht="14.25">
      <c r="A27" s="1186">
        <v>22</v>
      </c>
      <c r="B27" s="1186" t="s">
        <v>930</v>
      </c>
      <c r="C27" s="1355">
        <f>'Table 5C3 - LA Connections  '!C26</f>
        <v>5</v>
      </c>
      <c r="D27" s="1351">
        <f>[14]Sheet1!$K26</f>
        <v>10</v>
      </c>
      <c r="E27" s="1352">
        <f t="shared" si="1"/>
        <v>5</v>
      </c>
      <c r="F27" s="1352">
        <f t="shared" si="2"/>
        <v>5</v>
      </c>
      <c r="G27" s="1352">
        <f t="shared" si="3"/>
        <v>0</v>
      </c>
      <c r="H27" s="1353">
        <f>'Table 5C3 - LA Connections  '!D26</f>
        <v>5567.6280255898364</v>
      </c>
      <c r="I27" s="1353">
        <f>'Table 5C3 - LA Connections  '!F26</f>
        <v>446.72400000000005</v>
      </c>
      <c r="J27" s="1353">
        <f t="shared" si="4"/>
        <v>6014.3520255898366</v>
      </c>
      <c r="K27" s="1354">
        <f t="shared" si="5"/>
        <v>30071.760127949183</v>
      </c>
      <c r="L27" s="1365">
        <f t="shared" si="6"/>
        <v>30071.760127949183</v>
      </c>
      <c r="M27" s="1365">
        <f t="shared" si="7"/>
        <v>0</v>
      </c>
    </row>
    <row r="28" spans="1:13" ht="14.25">
      <c r="A28" s="1186">
        <v>23</v>
      </c>
      <c r="B28" s="1186" t="s">
        <v>931</v>
      </c>
      <c r="C28" s="1355">
        <f>'Table 5C3 - LA Connections  '!C27</f>
        <v>5</v>
      </c>
      <c r="D28" s="1355">
        <f>[14]Sheet1!$K27</f>
        <v>5</v>
      </c>
      <c r="E28" s="1352">
        <f t="shared" si="1"/>
        <v>0</v>
      </c>
      <c r="F28" s="1352">
        <f t="shared" si="2"/>
        <v>0</v>
      </c>
      <c r="G28" s="1352">
        <f t="shared" si="3"/>
        <v>0</v>
      </c>
      <c r="H28" s="1356">
        <f>'Table 5C3 - LA Connections  '!D27</f>
        <v>4346.3787333311848</v>
      </c>
      <c r="I28" s="1356">
        <f>'Table 5C3 - LA Connections  '!F27</f>
        <v>619.72200000000009</v>
      </c>
      <c r="J28" s="1356">
        <f t="shared" si="4"/>
        <v>4966.1007333311845</v>
      </c>
      <c r="K28" s="1354">
        <f t="shared" si="5"/>
        <v>0</v>
      </c>
      <c r="L28" s="1365">
        <f t="shared" si="6"/>
        <v>0</v>
      </c>
      <c r="M28" s="1365">
        <f t="shared" si="7"/>
        <v>0</v>
      </c>
    </row>
    <row r="29" spans="1:13" ht="14.25">
      <c r="A29" s="1186">
        <v>24</v>
      </c>
      <c r="B29" s="1186" t="s">
        <v>932</v>
      </c>
      <c r="C29" s="1355">
        <f>'Table 5C3 - LA Connections  '!C28</f>
        <v>0</v>
      </c>
      <c r="D29" s="1355">
        <f>[14]Sheet1!$K28</f>
        <v>1</v>
      </c>
      <c r="E29" s="1352">
        <f t="shared" si="1"/>
        <v>1</v>
      </c>
      <c r="F29" s="1352">
        <f t="shared" si="2"/>
        <v>1</v>
      </c>
      <c r="G29" s="1352">
        <f t="shared" si="3"/>
        <v>0</v>
      </c>
      <c r="H29" s="1356">
        <f>'Table 5C3 - LA Connections  '!D28</f>
        <v>2245.1024261844818</v>
      </c>
      <c r="I29" s="1356">
        <f>'Table 5C3 - LA Connections  '!F28</f>
        <v>768.82499999999993</v>
      </c>
      <c r="J29" s="1356">
        <f t="shared" si="4"/>
        <v>3013.9274261844816</v>
      </c>
      <c r="K29" s="1354">
        <f t="shared" si="5"/>
        <v>3013.9274261844816</v>
      </c>
      <c r="L29" s="1365">
        <f t="shared" si="6"/>
        <v>3013.9274261844816</v>
      </c>
      <c r="M29" s="1365">
        <f t="shared" si="7"/>
        <v>0</v>
      </c>
    </row>
    <row r="30" spans="1:13" ht="14.25">
      <c r="A30" s="1192">
        <v>25</v>
      </c>
      <c r="B30" s="1192" t="s">
        <v>933</v>
      </c>
      <c r="C30" s="1358">
        <f>'Table 5C3 - LA Connections  '!C29</f>
        <v>2</v>
      </c>
      <c r="D30" s="1358">
        <f>[14]Sheet1!$K29</f>
        <v>0</v>
      </c>
      <c r="E30" s="1359">
        <f t="shared" si="1"/>
        <v>-2</v>
      </c>
      <c r="F30" s="1359">
        <f t="shared" si="2"/>
        <v>0</v>
      </c>
      <c r="G30" s="1359">
        <f t="shared" si="3"/>
        <v>-2</v>
      </c>
      <c r="H30" s="1361">
        <f>'Table 5C3 - LA Connections  '!D29</f>
        <v>3300.5809626555911</v>
      </c>
      <c r="I30" s="1361">
        <f>'Table 5C3 - LA Connections  '!F29</f>
        <v>588.35700000000008</v>
      </c>
      <c r="J30" s="1361">
        <f t="shared" si="4"/>
        <v>3888.937962655591</v>
      </c>
      <c r="K30" s="1362">
        <f t="shared" si="5"/>
        <v>-7777.8759253111821</v>
      </c>
      <c r="L30" s="1366">
        <f t="shared" si="6"/>
        <v>0</v>
      </c>
      <c r="M30" s="1366">
        <f t="shared" si="7"/>
        <v>-7777.8759253111821</v>
      </c>
    </row>
    <row r="31" spans="1:13" ht="14.25">
      <c r="A31" s="1186">
        <v>26</v>
      </c>
      <c r="B31" s="1186" t="s">
        <v>663</v>
      </c>
      <c r="C31" s="1355">
        <f>'Table 5C3 - LA Connections  '!C30</f>
        <v>36</v>
      </c>
      <c r="D31" s="1351">
        <f>[14]Sheet1!$K30</f>
        <v>41</v>
      </c>
      <c r="E31" s="1352">
        <f t="shared" si="1"/>
        <v>5</v>
      </c>
      <c r="F31" s="1352">
        <f t="shared" si="2"/>
        <v>5</v>
      </c>
      <c r="G31" s="1352">
        <f t="shared" si="3"/>
        <v>0</v>
      </c>
      <c r="H31" s="1353">
        <f>'Table 5C3 - LA Connections  '!D30</f>
        <v>2835.3131108817151</v>
      </c>
      <c r="I31" s="1353">
        <f>'Table 5C3 - LA Connections  '!F30</f>
        <v>753.14700000000005</v>
      </c>
      <c r="J31" s="1353">
        <f t="shared" si="4"/>
        <v>3588.4601108817151</v>
      </c>
      <c r="K31" s="1354">
        <f t="shared" si="5"/>
        <v>17942.300554408575</v>
      </c>
      <c r="L31" s="1365">
        <f t="shared" si="6"/>
        <v>17942.300554408575</v>
      </c>
      <c r="M31" s="1365">
        <f t="shared" si="7"/>
        <v>0</v>
      </c>
    </row>
    <row r="32" spans="1:13" ht="14.25">
      <c r="A32" s="1186">
        <v>27</v>
      </c>
      <c r="B32" s="1186" t="s">
        <v>934</v>
      </c>
      <c r="C32" s="1355">
        <f>'Table 5C3 - LA Connections  '!C31</f>
        <v>6</v>
      </c>
      <c r="D32" s="1351">
        <f>[14]Sheet1!$K31</f>
        <v>0</v>
      </c>
      <c r="E32" s="1352">
        <f t="shared" si="1"/>
        <v>-6</v>
      </c>
      <c r="F32" s="1352">
        <f t="shared" si="2"/>
        <v>0</v>
      </c>
      <c r="G32" s="1352">
        <f t="shared" si="3"/>
        <v>-6</v>
      </c>
      <c r="H32" s="1353">
        <f>'Table 5C3 - LA Connections  '!D31</f>
        <v>5143.5016903089836</v>
      </c>
      <c r="I32" s="1353">
        <f>'Table 5C3 - LA Connections  '!F31</f>
        <v>623.75400000000002</v>
      </c>
      <c r="J32" s="1353">
        <f t="shared" si="4"/>
        <v>5767.2556903089835</v>
      </c>
      <c r="K32" s="1354">
        <f t="shared" si="5"/>
        <v>-34603.534141853903</v>
      </c>
      <c r="L32" s="1365">
        <f t="shared" si="6"/>
        <v>0</v>
      </c>
      <c r="M32" s="1365">
        <f t="shared" si="7"/>
        <v>-34603.534141853903</v>
      </c>
    </row>
    <row r="33" spans="1:13" ht="14.25">
      <c r="A33" s="1186">
        <v>28</v>
      </c>
      <c r="B33" s="1186" t="s">
        <v>935</v>
      </c>
      <c r="C33" s="1355">
        <f>'Table 5C3 - LA Connections  '!C32</f>
        <v>27</v>
      </c>
      <c r="D33" s="1355">
        <f>[14]Sheet1!$K32</f>
        <v>22</v>
      </c>
      <c r="E33" s="1352">
        <f t="shared" si="1"/>
        <v>-5</v>
      </c>
      <c r="F33" s="1352">
        <f t="shared" si="2"/>
        <v>0</v>
      </c>
      <c r="G33" s="1352">
        <f t="shared" si="3"/>
        <v>-5</v>
      </c>
      <c r="H33" s="1356">
        <f>'Table 5C3 - LA Connections  '!D32</f>
        <v>3030.6109760091736</v>
      </c>
      <c r="I33" s="1356">
        <f>'Table 5C3 - LA Connections  '!F32</f>
        <v>624.96</v>
      </c>
      <c r="J33" s="1356">
        <f t="shared" si="4"/>
        <v>3655.5709760091736</v>
      </c>
      <c r="K33" s="1354">
        <f t="shared" si="5"/>
        <v>-18277.854880045867</v>
      </c>
      <c r="L33" s="1365">
        <f t="shared" si="6"/>
        <v>0</v>
      </c>
      <c r="M33" s="1365">
        <f t="shared" si="7"/>
        <v>-18277.854880045867</v>
      </c>
    </row>
    <row r="34" spans="1:13" ht="14.25">
      <c r="A34" s="1186">
        <v>29</v>
      </c>
      <c r="B34" s="1186" t="s">
        <v>936</v>
      </c>
      <c r="C34" s="1355">
        <f>'Table 5C3 - LA Connections  '!C33</f>
        <v>5</v>
      </c>
      <c r="D34" s="1355">
        <f>[14]Sheet1!$K33</f>
        <v>7</v>
      </c>
      <c r="E34" s="1352">
        <f t="shared" si="1"/>
        <v>2</v>
      </c>
      <c r="F34" s="1352">
        <f t="shared" si="2"/>
        <v>2</v>
      </c>
      <c r="G34" s="1352">
        <f t="shared" si="3"/>
        <v>0</v>
      </c>
      <c r="H34" s="1356">
        <f>'Table 5C3 - LA Connections  '!D33</f>
        <v>3779.8345012024251</v>
      </c>
      <c r="I34" s="1356">
        <f>'Table 5C3 - LA Connections  '!F33</f>
        <v>679.45499999999993</v>
      </c>
      <c r="J34" s="1356">
        <f t="shared" si="4"/>
        <v>4459.2895012024255</v>
      </c>
      <c r="K34" s="1354">
        <f t="shared" si="5"/>
        <v>8918.5790024048511</v>
      </c>
      <c r="L34" s="1365">
        <f t="shared" si="6"/>
        <v>8918.5790024048511</v>
      </c>
      <c r="M34" s="1365">
        <f t="shared" si="7"/>
        <v>0</v>
      </c>
    </row>
    <row r="35" spans="1:13" ht="14.25">
      <c r="A35" s="1192">
        <v>30</v>
      </c>
      <c r="B35" s="1192" t="s">
        <v>937</v>
      </c>
      <c r="C35" s="1358">
        <f>'Table 5C3 - LA Connections  '!C34</f>
        <v>5</v>
      </c>
      <c r="D35" s="1358">
        <f>[14]Sheet1!$K34</f>
        <v>3</v>
      </c>
      <c r="E35" s="1359">
        <f t="shared" si="1"/>
        <v>-2</v>
      </c>
      <c r="F35" s="1359">
        <f t="shared" si="2"/>
        <v>0</v>
      </c>
      <c r="G35" s="1359">
        <f t="shared" si="3"/>
        <v>-2</v>
      </c>
      <c r="H35" s="1361">
        <f>'Table 5C3 - LA Connections  '!D34</f>
        <v>5203.3716856082956</v>
      </c>
      <c r="I35" s="1361">
        <f>'Table 5C3 - LA Connections  '!F34</f>
        <v>654.45299999999997</v>
      </c>
      <c r="J35" s="1361">
        <f t="shared" si="4"/>
        <v>5857.8246856082951</v>
      </c>
      <c r="K35" s="1362">
        <f t="shared" si="5"/>
        <v>-11715.64937121659</v>
      </c>
      <c r="L35" s="1366">
        <f t="shared" si="6"/>
        <v>0</v>
      </c>
      <c r="M35" s="1366">
        <f t="shared" si="7"/>
        <v>-11715.64937121659</v>
      </c>
    </row>
    <row r="36" spans="1:13" ht="14.25">
      <c r="A36" s="1186">
        <v>31</v>
      </c>
      <c r="B36" s="1186" t="s">
        <v>654</v>
      </c>
      <c r="C36" s="1355">
        <f>'Table 5C3 - LA Connections  '!C35</f>
        <v>5</v>
      </c>
      <c r="D36" s="1351">
        <f>[14]Sheet1!$K35</f>
        <v>4</v>
      </c>
      <c r="E36" s="1352">
        <f t="shared" si="1"/>
        <v>-1</v>
      </c>
      <c r="F36" s="1352">
        <f t="shared" si="2"/>
        <v>0</v>
      </c>
      <c r="G36" s="1352">
        <f t="shared" si="3"/>
        <v>-1</v>
      </c>
      <c r="H36" s="1353">
        <f>'Table 5C3 - LA Connections  '!D35</f>
        <v>3809.5955572598205</v>
      </c>
      <c r="I36" s="1353">
        <f>'Table 5C3 - LA Connections  '!F35</f>
        <v>558.74700000000007</v>
      </c>
      <c r="J36" s="1353">
        <f t="shared" si="4"/>
        <v>4368.3425572598208</v>
      </c>
      <c r="K36" s="1354">
        <f t="shared" si="5"/>
        <v>-4368.3425572598208</v>
      </c>
      <c r="L36" s="1365">
        <f t="shared" si="6"/>
        <v>0</v>
      </c>
      <c r="M36" s="1365">
        <f t="shared" si="7"/>
        <v>-4368.3425572598208</v>
      </c>
    </row>
    <row r="37" spans="1:13" ht="14.25">
      <c r="A37" s="1186">
        <v>32</v>
      </c>
      <c r="B37" s="1186" t="s">
        <v>640</v>
      </c>
      <c r="C37" s="1355">
        <f>'Table 5C3 - LA Connections  '!C36</f>
        <v>33</v>
      </c>
      <c r="D37" s="1351">
        <f>[14]Sheet1!$K36</f>
        <v>33</v>
      </c>
      <c r="E37" s="1352">
        <f t="shared" si="1"/>
        <v>0</v>
      </c>
      <c r="F37" s="1352">
        <f t="shared" si="2"/>
        <v>0</v>
      </c>
      <c r="G37" s="1352">
        <f t="shared" si="3"/>
        <v>0</v>
      </c>
      <c r="H37" s="1353">
        <f>'Table 5C3 - LA Connections  '!D36</f>
        <v>4878.1056037962908</v>
      </c>
      <c r="I37" s="1353">
        <f>'Table 5C3 - LA Connections  '!F36</f>
        <v>503.79300000000001</v>
      </c>
      <c r="J37" s="1353">
        <f t="shared" si="4"/>
        <v>5381.8986037962904</v>
      </c>
      <c r="K37" s="1354">
        <f t="shared" si="5"/>
        <v>0</v>
      </c>
      <c r="L37" s="1365">
        <f t="shared" si="6"/>
        <v>0</v>
      </c>
      <c r="M37" s="1365">
        <f t="shared" si="7"/>
        <v>0</v>
      </c>
    </row>
    <row r="38" spans="1:13" ht="14.25">
      <c r="A38" s="1186">
        <v>33</v>
      </c>
      <c r="B38" s="1186" t="s">
        <v>938</v>
      </c>
      <c r="C38" s="1355">
        <f>'Table 5C3 - LA Connections  '!C37</f>
        <v>2</v>
      </c>
      <c r="D38" s="1355">
        <f>[14]Sheet1!$K37</f>
        <v>2</v>
      </c>
      <c r="E38" s="1352">
        <f t="shared" si="1"/>
        <v>0</v>
      </c>
      <c r="F38" s="1352">
        <f t="shared" si="2"/>
        <v>0</v>
      </c>
      <c r="G38" s="1352">
        <f t="shared" si="3"/>
        <v>0</v>
      </c>
      <c r="H38" s="1356">
        <f>'Table 5C3 - LA Connections  '!D37</f>
        <v>5150.6824273781667</v>
      </c>
      <c r="I38" s="1356">
        <f>'Table 5C3 - LA Connections  '!F37</f>
        <v>589.77900000000011</v>
      </c>
      <c r="J38" s="1356">
        <f t="shared" si="4"/>
        <v>5740.4614273781672</v>
      </c>
      <c r="K38" s="1354">
        <f t="shared" si="5"/>
        <v>0</v>
      </c>
      <c r="L38" s="1365">
        <f t="shared" si="6"/>
        <v>0</v>
      </c>
      <c r="M38" s="1365">
        <f t="shared" si="7"/>
        <v>0</v>
      </c>
    </row>
    <row r="39" spans="1:13" ht="14.25">
      <c r="A39" s="1186">
        <v>34</v>
      </c>
      <c r="B39" s="1186" t="s">
        <v>939</v>
      </c>
      <c r="C39" s="1355">
        <f>'Table 5C3 - LA Connections  '!C38</f>
        <v>3</v>
      </c>
      <c r="D39" s="1355">
        <f>[14]Sheet1!$K38</f>
        <v>2</v>
      </c>
      <c r="E39" s="1352">
        <f t="shared" si="1"/>
        <v>-1</v>
      </c>
      <c r="F39" s="1352">
        <f t="shared" si="2"/>
        <v>0</v>
      </c>
      <c r="G39" s="1352">
        <f t="shared" si="3"/>
        <v>-1</v>
      </c>
      <c r="H39" s="1356">
        <f>'Table 5C3 - LA Connections  '!D38</f>
        <v>5188.309170721649</v>
      </c>
      <c r="I39" s="1356">
        <f>'Table 5C3 - LA Connections  '!F38</f>
        <v>579.69900000000018</v>
      </c>
      <c r="J39" s="1356">
        <f t="shared" si="4"/>
        <v>5768.0081707216495</v>
      </c>
      <c r="K39" s="1354">
        <f t="shared" si="5"/>
        <v>-5768.0081707216495</v>
      </c>
      <c r="L39" s="1365">
        <f t="shared" si="6"/>
        <v>0</v>
      </c>
      <c r="M39" s="1365">
        <f t="shared" si="7"/>
        <v>-5768.0081707216495</v>
      </c>
    </row>
    <row r="40" spans="1:13" ht="14.25">
      <c r="A40" s="1192">
        <v>35</v>
      </c>
      <c r="B40" s="1192" t="s">
        <v>940</v>
      </c>
      <c r="C40" s="1358">
        <f>'Table 5C3 - LA Connections  '!C39</f>
        <v>10</v>
      </c>
      <c r="D40" s="1358">
        <f>[14]Sheet1!$K39</f>
        <v>11</v>
      </c>
      <c r="E40" s="1359">
        <f t="shared" si="1"/>
        <v>1</v>
      </c>
      <c r="F40" s="1359">
        <f t="shared" si="2"/>
        <v>1</v>
      </c>
      <c r="G40" s="1359">
        <f t="shared" si="3"/>
        <v>0</v>
      </c>
      <c r="H40" s="1361">
        <f>'Table 5C3 - LA Connections  '!D39</f>
        <v>4468.1274864201305</v>
      </c>
      <c r="I40" s="1361">
        <f>'Table 5C3 - LA Connections  '!F39</f>
        <v>484.16400000000004</v>
      </c>
      <c r="J40" s="1361">
        <f t="shared" si="4"/>
        <v>4952.2914864201302</v>
      </c>
      <c r="K40" s="1362">
        <f t="shared" si="5"/>
        <v>4952.2914864201302</v>
      </c>
      <c r="L40" s="1366">
        <f t="shared" si="6"/>
        <v>4952.2914864201302</v>
      </c>
      <c r="M40" s="1366">
        <f t="shared" si="7"/>
        <v>0</v>
      </c>
    </row>
    <row r="41" spans="1:13" ht="14.25">
      <c r="A41" s="1186">
        <v>36</v>
      </c>
      <c r="B41" s="1186" t="s">
        <v>662</v>
      </c>
      <c r="C41" s="1355">
        <f>'Table 5C3 - LA Connections  '!C40</f>
        <v>23</v>
      </c>
      <c r="D41" s="1355">
        <f>[14]Sheet1!$K40</f>
        <v>14</v>
      </c>
      <c r="E41" s="1352">
        <f t="shared" si="1"/>
        <v>-9</v>
      </c>
      <c r="F41" s="1352">
        <f t="shared" si="2"/>
        <v>0</v>
      </c>
      <c r="G41" s="1352">
        <f t="shared" si="3"/>
        <v>-9</v>
      </c>
      <c r="H41" s="1356">
        <f>'Table 5C3 - LA Connections  '!D40</f>
        <v>2926.8243863744597</v>
      </c>
      <c r="I41" s="1356">
        <f>'Table 5C3 - LA Connections  '!F40</f>
        <v>671.43020547945218</v>
      </c>
      <c r="J41" s="1356">
        <f t="shared" si="4"/>
        <v>3598.2545918539117</v>
      </c>
      <c r="K41" s="1354">
        <f t="shared" si="5"/>
        <v>-32384.291326685205</v>
      </c>
      <c r="L41" s="1365">
        <f t="shared" si="6"/>
        <v>0</v>
      </c>
      <c r="M41" s="1365">
        <f t="shared" si="7"/>
        <v>-32384.291326685205</v>
      </c>
    </row>
    <row r="42" spans="1:13" ht="14.25">
      <c r="A42" s="1186">
        <v>37</v>
      </c>
      <c r="B42" s="1186" t="s">
        <v>653</v>
      </c>
      <c r="C42" s="1351">
        <f>'Table 5C3 - LA Connections  '!C41</f>
        <v>9</v>
      </c>
      <c r="D42" s="1351">
        <f>[14]Sheet1!$K41</f>
        <v>16</v>
      </c>
      <c r="E42" s="1352">
        <f t="shared" si="1"/>
        <v>7</v>
      </c>
      <c r="F42" s="1352">
        <f t="shared" si="2"/>
        <v>7</v>
      </c>
      <c r="G42" s="1352">
        <f t="shared" si="3"/>
        <v>0</v>
      </c>
      <c r="H42" s="1353">
        <f>'Table 5C3 - LA Connections  '!D41</f>
        <v>4924.8804762576674</v>
      </c>
      <c r="I42" s="1353">
        <f>'Table 5C3 - LA Connections  '!F41</f>
        <v>588.24900000000002</v>
      </c>
      <c r="J42" s="1353">
        <f t="shared" si="4"/>
        <v>5513.1294762576672</v>
      </c>
      <c r="K42" s="1354">
        <f t="shared" si="5"/>
        <v>38591.906333803672</v>
      </c>
      <c r="L42" s="1365">
        <f t="shared" si="6"/>
        <v>38591.906333803672</v>
      </c>
      <c r="M42" s="1365">
        <f t="shared" si="7"/>
        <v>0</v>
      </c>
    </row>
    <row r="43" spans="1:13" ht="14.25">
      <c r="A43" s="1186">
        <v>38</v>
      </c>
      <c r="B43" s="1186" t="s">
        <v>673</v>
      </c>
      <c r="C43" s="1351">
        <f>'Table 5C3 - LA Connections  '!C42</f>
        <v>2</v>
      </c>
      <c r="D43" s="1355">
        <f>[14]Sheet1!$K42</f>
        <v>0</v>
      </c>
      <c r="E43" s="1352">
        <f t="shared" si="1"/>
        <v>-2</v>
      </c>
      <c r="F43" s="1352">
        <f t="shared" si="2"/>
        <v>0</v>
      </c>
      <c r="G43" s="1352">
        <f t="shared" si="3"/>
        <v>-2</v>
      </c>
      <c r="H43" s="1353">
        <f>'Table 5C3 - LA Connections  '!D42</f>
        <v>2156.9024476931331</v>
      </c>
      <c r="I43" s="1353">
        <f>'Table 5C3 - LA Connections  '!F42</f>
        <v>746.92800000000011</v>
      </c>
      <c r="J43" s="1356">
        <f t="shared" si="4"/>
        <v>2903.8304476931335</v>
      </c>
      <c r="K43" s="1354">
        <f t="shared" si="5"/>
        <v>-5807.6608953862669</v>
      </c>
      <c r="L43" s="1365">
        <f t="shared" si="6"/>
        <v>0</v>
      </c>
      <c r="M43" s="1365">
        <f t="shared" si="7"/>
        <v>-5807.6608953862669</v>
      </c>
    </row>
    <row r="44" spans="1:13" ht="14.25">
      <c r="A44" s="1186">
        <v>39</v>
      </c>
      <c r="B44" s="1186" t="s">
        <v>941</v>
      </c>
      <c r="C44" s="1355">
        <f>'Table 5C3 - LA Connections  '!C43</f>
        <v>8</v>
      </c>
      <c r="D44" s="1355">
        <f>[14]Sheet1!$K43</f>
        <v>6</v>
      </c>
      <c r="E44" s="1352">
        <f t="shared" si="1"/>
        <v>-2</v>
      </c>
      <c r="F44" s="1352">
        <f t="shared" si="2"/>
        <v>0</v>
      </c>
      <c r="G44" s="1352">
        <f t="shared" si="3"/>
        <v>-2</v>
      </c>
      <c r="H44" s="1356">
        <f>'Table 5C3 - LA Connections  '!D43</f>
        <v>3271.7738389265178</v>
      </c>
      <c r="I44" s="1356">
        <f>'Table 5C3 - LA Connections  '!F43</f>
        <v>701.69015738498797</v>
      </c>
      <c r="J44" s="1356">
        <f t="shared" si="4"/>
        <v>3973.463996311506</v>
      </c>
      <c r="K44" s="1354">
        <f t="shared" si="5"/>
        <v>-7946.927992623012</v>
      </c>
      <c r="L44" s="1365">
        <f t="shared" si="6"/>
        <v>0</v>
      </c>
      <c r="M44" s="1365">
        <f t="shared" si="7"/>
        <v>-7946.927992623012</v>
      </c>
    </row>
    <row r="45" spans="1:13" ht="14.25">
      <c r="A45" s="1192">
        <v>40</v>
      </c>
      <c r="B45" s="1192" t="s">
        <v>942</v>
      </c>
      <c r="C45" s="1358">
        <f>'Table 5C3 - LA Connections  '!C44</f>
        <v>25</v>
      </c>
      <c r="D45" s="1358">
        <f>[14]Sheet1!$K44</f>
        <v>26</v>
      </c>
      <c r="E45" s="1359">
        <f t="shared" si="1"/>
        <v>1</v>
      </c>
      <c r="F45" s="1359">
        <f t="shared" si="2"/>
        <v>1</v>
      </c>
      <c r="G45" s="1359">
        <f t="shared" si="3"/>
        <v>0</v>
      </c>
      <c r="H45" s="1361">
        <f>'Table 5C3 - LA Connections  '!D44</f>
        <v>4318.8915815212367</v>
      </c>
      <c r="I45" s="1361">
        <f>'Table 5C3 - LA Connections  '!F44</f>
        <v>630.24300000000005</v>
      </c>
      <c r="J45" s="1361">
        <f t="shared" si="4"/>
        <v>4949.1345815212371</v>
      </c>
      <c r="K45" s="1362">
        <f t="shared" si="5"/>
        <v>4949.1345815212371</v>
      </c>
      <c r="L45" s="1366">
        <f t="shared" si="6"/>
        <v>4949.1345815212371</v>
      </c>
      <c r="M45" s="1366">
        <f t="shared" si="7"/>
        <v>0</v>
      </c>
    </row>
    <row r="46" spans="1:13" ht="14.25">
      <c r="A46" s="1186">
        <v>41</v>
      </c>
      <c r="B46" s="1186" t="s">
        <v>943</v>
      </c>
      <c r="C46" s="1355">
        <f>'Table 5C3 - LA Connections  '!C45</f>
        <v>1</v>
      </c>
      <c r="D46" s="1351">
        <f>[14]Sheet1!$K45</f>
        <v>1</v>
      </c>
      <c r="E46" s="1352">
        <f t="shared" si="1"/>
        <v>0</v>
      </c>
      <c r="F46" s="1352">
        <f t="shared" si="2"/>
        <v>0</v>
      </c>
      <c r="G46" s="1352">
        <f t="shared" si="3"/>
        <v>0</v>
      </c>
      <c r="H46" s="1353">
        <f>'Table 5C3 - LA Connections  '!D45</f>
        <v>2023.0154811715481</v>
      </c>
      <c r="I46" s="1353">
        <f>'Table 5C3 - LA Connections  '!F45</f>
        <v>797.59800000000007</v>
      </c>
      <c r="J46" s="1353">
        <f t="shared" si="4"/>
        <v>2820.6134811715483</v>
      </c>
      <c r="K46" s="1354">
        <f t="shared" si="5"/>
        <v>0</v>
      </c>
      <c r="L46" s="1365">
        <f t="shared" si="6"/>
        <v>0</v>
      </c>
      <c r="M46" s="1365">
        <f t="shared" si="7"/>
        <v>0</v>
      </c>
    </row>
    <row r="47" spans="1:13" ht="14.25">
      <c r="A47" s="1186">
        <v>42</v>
      </c>
      <c r="B47" s="1186" t="s">
        <v>944</v>
      </c>
      <c r="C47" s="1355">
        <f>'Table 5C3 - LA Connections  '!C46</f>
        <v>0</v>
      </c>
      <c r="D47" s="1351">
        <f>[14]Sheet1!$K46</f>
        <v>0</v>
      </c>
      <c r="E47" s="1352">
        <f t="shared" si="1"/>
        <v>0</v>
      </c>
      <c r="F47" s="1352">
        <f t="shared" si="2"/>
        <v>0</v>
      </c>
      <c r="G47" s="1352">
        <f t="shared" si="3"/>
        <v>0</v>
      </c>
      <c r="H47" s="1353">
        <f>'Table 5C3 - LA Connections  '!D46</f>
        <v>4950.977089527617</v>
      </c>
      <c r="I47" s="1353">
        <f>'Table 5C3 - LA Connections  '!F46</f>
        <v>480.85199999999998</v>
      </c>
      <c r="J47" s="1353">
        <f t="shared" si="4"/>
        <v>5431.8290895276168</v>
      </c>
      <c r="K47" s="1354">
        <f t="shared" si="5"/>
        <v>0</v>
      </c>
      <c r="L47" s="1365">
        <f t="shared" si="6"/>
        <v>0</v>
      </c>
      <c r="M47" s="1365">
        <f t="shared" si="7"/>
        <v>0</v>
      </c>
    </row>
    <row r="48" spans="1:13" ht="14.25">
      <c r="A48" s="1186">
        <v>43</v>
      </c>
      <c r="B48" s="1186" t="s">
        <v>945</v>
      </c>
      <c r="C48" s="1355">
        <f>'Table 5C3 - LA Connections  '!C47</f>
        <v>5</v>
      </c>
      <c r="D48" s="1355">
        <f>[14]Sheet1!$K47</f>
        <v>7</v>
      </c>
      <c r="E48" s="1352">
        <f t="shared" si="1"/>
        <v>2</v>
      </c>
      <c r="F48" s="1352">
        <f t="shared" si="2"/>
        <v>2</v>
      </c>
      <c r="G48" s="1352">
        <f t="shared" si="3"/>
        <v>0</v>
      </c>
      <c r="H48" s="1356">
        <f>'Table 5C3 - LA Connections  '!D47</f>
        <v>5366.323998911892</v>
      </c>
      <c r="I48" s="1356">
        <f>'Table 5C3 - LA Connections  '!F47</f>
        <v>517.14899999999989</v>
      </c>
      <c r="J48" s="1356">
        <f t="shared" si="4"/>
        <v>5883.4729989118914</v>
      </c>
      <c r="K48" s="1354">
        <f t="shared" si="5"/>
        <v>11766.945997823783</v>
      </c>
      <c r="L48" s="1365">
        <f t="shared" si="6"/>
        <v>11766.945997823783</v>
      </c>
      <c r="M48" s="1365">
        <f t="shared" si="7"/>
        <v>0</v>
      </c>
    </row>
    <row r="49" spans="1:13" ht="14.25">
      <c r="A49" s="1186">
        <v>44</v>
      </c>
      <c r="B49" s="1186" t="s">
        <v>664</v>
      </c>
      <c r="C49" s="1355">
        <f>'Table 5C3 - LA Connections  '!C48</f>
        <v>5</v>
      </c>
      <c r="D49" s="1355">
        <f>[14]Sheet1!$K48</f>
        <v>5</v>
      </c>
      <c r="E49" s="1352">
        <f t="shared" si="1"/>
        <v>0</v>
      </c>
      <c r="F49" s="1352">
        <f t="shared" si="2"/>
        <v>0</v>
      </c>
      <c r="G49" s="1352">
        <f t="shared" si="3"/>
        <v>0</v>
      </c>
      <c r="H49" s="1356">
        <f>'Table 5C3 - LA Connections  '!D48</f>
        <v>3921.5191182073468</v>
      </c>
      <c r="I49" s="1356">
        <f>'Table 5C3 - LA Connections  '!F48</f>
        <v>596.84400000000005</v>
      </c>
      <c r="J49" s="1356">
        <f t="shared" si="4"/>
        <v>4518.3631182073468</v>
      </c>
      <c r="K49" s="1354">
        <f t="shared" si="5"/>
        <v>0</v>
      </c>
      <c r="L49" s="1365">
        <f t="shared" si="6"/>
        <v>0</v>
      </c>
      <c r="M49" s="1365">
        <f t="shared" si="7"/>
        <v>0</v>
      </c>
    </row>
    <row r="50" spans="1:13" ht="14.25">
      <c r="A50" s="1192">
        <v>45</v>
      </c>
      <c r="B50" s="1192" t="s">
        <v>665</v>
      </c>
      <c r="C50" s="1358">
        <f>'Table 5C3 - LA Connections  '!C49</f>
        <v>5</v>
      </c>
      <c r="D50" s="1358">
        <f>[14]Sheet1!$K49</f>
        <v>5</v>
      </c>
      <c r="E50" s="1359">
        <f t="shared" si="1"/>
        <v>0</v>
      </c>
      <c r="F50" s="1359">
        <f t="shared" si="2"/>
        <v>0</v>
      </c>
      <c r="G50" s="1359">
        <f t="shared" si="3"/>
        <v>0</v>
      </c>
      <c r="H50" s="1361">
        <f>'Table 5C3 - LA Connections  '!D49</f>
        <v>2187.4313891834572</v>
      </c>
      <c r="I50" s="1361">
        <f>'Table 5C3 - LA Connections  '!F49</f>
        <v>678.56400000000019</v>
      </c>
      <c r="J50" s="1361">
        <f t="shared" si="4"/>
        <v>2865.9953891834575</v>
      </c>
      <c r="K50" s="1362">
        <f t="shared" si="5"/>
        <v>0</v>
      </c>
      <c r="L50" s="1366">
        <f t="shared" si="6"/>
        <v>0</v>
      </c>
      <c r="M50" s="1366">
        <f t="shared" si="7"/>
        <v>0</v>
      </c>
    </row>
    <row r="51" spans="1:13" ht="14.25">
      <c r="A51" s="1186">
        <v>46</v>
      </c>
      <c r="B51" s="1186" t="s">
        <v>946</v>
      </c>
      <c r="C51" s="1355">
        <f>'Table 5C3 - LA Connections  '!C50</f>
        <v>0</v>
      </c>
      <c r="D51" s="1351">
        <f>[14]Sheet1!$K50</f>
        <v>0</v>
      </c>
      <c r="E51" s="1352">
        <f t="shared" si="1"/>
        <v>0</v>
      </c>
      <c r="F51" s="1352">
        <f t="shared" si="2"/>
        <v>0</v>
      </c>
      <c r="G51" s="1352">
        <f t="shared" si="3"/>
        <v>0</v>
      </c>
      <c r="H51" s="1356">
        <f>'Table 5C3 - LA Connections  '!D50</f>
        <v>5221.8999089820491</v>
      </c>
      <c r="I51" s="1356">
        <f>'Table 5C3 - LA Connections  '!F50</f>
        <v>655.25400000000002</v>
      </c>
      <c r="J51" s="1353">
        <f t="shared" si="4"/>
        <v>5877.153908982049</v>
      </c>
      <c r="K51" s="1354">
        <f t="shared" si="5"/>
        <v>0</v>
      </c>
      <c r="L51" s="1365">
        <f t="shared" si="6"/>
        <v>0</v>
      </c>
      <c r="M51" s="1365">
        <f t="shared" si="7"/>
        <v>0</v>
      </c>
    </row>
    <row r="52" spans="1:13" ht="14.25">
      <c r="A52" s="1186">
        <v>47</v>
      </c>
      <c r="B52" s="1186" t="s">
        <v>947</v>
      </c>
      <c r="C52" s="1351">
        <f>'Table 5C3 - LA Connections  '!C51</f>
        <v>0</v>
      </c>
      <c r="D52" s="1351">
        <f>[14]Sheet1!$K51</f>
        <v>0</v>
      </c>
      <c r="E52" s="1352">
        <f t="shared" si="1"/>
        <v>0</v>
      </c>
      <c r="F52" s="1352">
        <f t="shared" si="2"/>
        <v>0</v>
      </c>
      <c r="G52" s="1352">
        <f t="shared" si="3"/>
        <v>0</v>
      </c>
      <c r="H52" s="1353">
        <f>'Table 5C3 - LA Connections  '!D51</f>
        <v>3098.1307624872338</v>
      </c>
      <c r="I52" s="1353">
        <f>'Table 5C3 - LA Connections  '!F51</f>
        <v>819.68399999999997</v>
      </c>
      <c r="J52" s="1353">
        <f t="shared" si="4"/>
        <v>3917.8147624872336</v>
      </c>
      <c r="K52" s="1354">
        <f t="shared" si="5"/>
        <v>0</v>
      </c>
      <c r="L52" s="1365">
        <f t="shared" si="6"/>
        <v>0</v>
      </c>
      <c r="M52" s="1365">
        <f t="shared" si="7"/>
        <v>0</v>
      </c>
    </row>
    <row r="53" spans="1:13" ht="14.25">
      <c r="A53" s="1186">
        <v>48</v>
      </c>
      <c r="B53" s="1186" t="s">
        <v>948</v>
      </c>
      <c r="C53" s="1351">
        <f>'Table 5C3 - LA Connections  '!C52</f>
        <v>3</v>
      </c>
      <c r="D53" s="1355">
        <f>[14]Sheet1!$K52</f>
        <v>3</v>
      </c>
      <c r="E53" s="1352">
        <f t="shared" si="1"/>
        <v>0</v>
      </c>
      <c r="F53" s="1352">
        <f t="shared" si="2"/>
        <v>0</v>
      </c>
      <c r="G53" s="1352">
        <f t="shared" si="3"/>
        <v>0</v>
      </c>
      <c r="H53" s="1356">
        <f>'Table 5C3 - LA Connections  '!D52</f>
        <v>3116.6706997342021</v>
      </c>
      <c r="I53" s="1356">
        <f>'Table 5C3 - LA Connections  '!F52</f>
        <v>783.96300000000008</v>
      </c>
      <c r="J53" s="1356">
        <f t="shared" si="4"/>
        <v>3900.6336997342023</v>
      </c>
      <c r="K53" s="1354">
        <f t="shared" si="5"/>
        <v>0</v>
      </c>
      <c r="L53" s="1365">
        <f t="shared" si="6"/>
        <v>0</v>
      </c>
      <c r="M53" s="1365">
        <f t="shared" si="7"/>
        <v>0</v>
      </c>
    </row>
    <row r="54" spans="1:13" ht="14.25">
      <c r="A54" s="1186">
        <v>49</v>
      </c>
      <c r="B54" s="1186" t="s">
        <v>949</v>
      </c>
      <c r="C54" s="1351">
        <f>'Table 5C3 - LA Connections  '!C53</f>
        <v>9</v>
      </c>
      <c r="D54" s="1355">
        <f>[14]Sheet1!$K53</f>
        <v>8</v>
      </c>
      <c r="E54" s="1352">
        <f t="shared" si="1"/>
        <v>-1</v>
      </c>
      <c r="F54" s="1352">
        <f t="shared" si="2"/>
        <v>0</v>
      </c>
      <c r="G54" s="1352">
        <f t="shared" si="3"/>
        <v>-1</v>
      </c>
      <c r="H54" s="1356">
        <f>'Table 5C3 - LA Connections  '!D53</f>
        <v>4382.8223958618019</v>
      </c>
      <c r="I54" s="1356">
        <f>'Table 5C3 - LA Connections  '!F53</f>
        <v>516.99599999999998</v>
      </c>
      <c r="J54" s="1356">
        <f t="shared" si="4"/>
        <v>4899.8183958618019</v>
      </c>
      <c r="K54" s="1354">
        <f t="shared" si="5"/>
        <v>-4899.8183958618019</v>
      </c>
      <c r="L54" s="1365">
        <f t="shared" si="6"/>
        <v>0</v>
      </c>
      <c r="M54" s="1365">
        <f t="shared" si="7"/>
        <v>-4899.8183958618019</v>
      </c>
    </row>
    <row r="55" spans="1:13" ht="14.25">
      <c r="A55" s="1192">
        <v>50</v>
      </c>
      <c r="B55" s="1192" t="s">
        <v>950</v>
      </c>
      <c r="C55" s="1357">
        <f>'Table 5C3 - LA Connections  '!C54</f>
        <v>11</v>
      </c>
      <c r="D55" s="1358">
        <f>[14]Sheet1!$K54</f>
        <v>17</v>
      </c>
      <c r="E55" s="1359">
        <f t="shared" si="1"/>
        <v>6</v>
      </c>
      <c r="F55" s="1359">
        <f t="shared" si="2"/>
        <v>6</v>
      </c>
      <c r="G55" s="1359">
        <f t="shared" si="3"/>
        <v>0</v>
      </c>
      <c r="H55" s="1361">
        <f>'Table 5C3 - LA Connections  '!D54</f>
        <v>4559.7314595568487</v>
      </c>
      <c r="I55" s="1361">
        <f>'Table 5C3 - LA Connections  '!F54</f>
        <v>571.01400000000001</v>
      </c>
      <c r="J55" s="1361">
        <f t="shared" si="4"/>
        <v>5130.7454595568488</v>
      </c>
      <c r="K55" s="1362">
        <f t="shared" si="5"/>
        <v>30784.472757341093</v>
      </c>
      <c r="L55" s="1366">
        <f t="shared" si="6"/>
        <v>30784.472757341093</v>
      </c>
      <c r="M55" s="1366">
        <f t="shared" si="7"/>
        <v>0</v>
      </c>
    </row>
    <row r="56" spans="1:13" ht="14.25">
      <c r="A56" s="1186">
        <v>51</v>
      </c>
      <c r="B56" s="1186" t="s">
        <v>951</v>
      </c>
      <c r="C56" s="1351">
        <f>'Table 5C3 - LA Connections  '!C55</f>
        <v>5</v>
      </c>
      <c r="D56" s="1351">
        <f>[14]Sheet1!$K55</f>
        <v>4</v>
      </c>
      <c r="E56" s="1352">
        <f t="shared" si="1"/>
        <v>-1</v>
      </c>
      <c r="F56" s="1352">
        <f t="shared" si="2"/>
        <v>0</v>
      </c>
      <c r="G56" s="1352">
        <f t="shared" si="3"/>
        <v>-1</v>
      </c>
      <c r="H56" s="1353">
        <f>'Table 5C3 - LA Connections  '!D55</f>
        <v>4084.7188881585589</v>
      </c>
      <c r="I56" s="1353">
        <f>'Table 5C3 - LA Connections  '!F55</f>
        <v>635.99400000000003</v>
      </c>
      <c r="J56" s="1353">
        <f t="shared" si="4"/>
        <v>4720.7128881585586</v>
      </c>
      <c r="K56" s="1354">
        <f t="shared" si="5"/>
        <v>-4720.7128881585586</v>
      </c>
      <c r="L56" s="1365">
        <f t="shared" si="6"/>
        <v>0</v>
      </c>
      <c r="M56" s="1365">
        <f t="shared" si="7"/>
        <v>-4720.7128881585586</v>
      </c>
    </row>
    <row r="57" spans="1:13" ht="14.25">
      <c r="A57" s="1186">
        <v>52</v>
      </c>
      <c r="B57" s="1186" t="s">
        <v>667</v>
      </c>
      <c r="C57" s="1351">
        <f>'Table 5C3 - LA Connections  '!C56</f>
        <v>47</v>
      </c>
      <c r="D57" s="1351">
        <f>[14]Sheet1!$K56</f>
        <v>46</v>
      </c>
      <c r="E57" s="1352">
        <f t="shared" si="1"/>
        <v>-1</v>
      </c>
      <c r="F57" s="1352">
        <f t="shared" si="2"/>
        <v>0</v>
      </c>
      <c r="G57" s="1352">
        <f t="shared" si="3"/>
        <v>-1</v>
      </c>
      <c r="H57" s="1353">
        <f>'Table 5C3 - LA Connections  '!D56</f>
        <v>4487.571353437329</v>
      </c>
      <c r="I57" s="1353">
        <f>'Table 5C3 - LA Connections  '!F56</f>
        <v>592.53300000000002</v>
      </c>
      <c r="J57" s="1353">
        <f t="shared" si="4"/>
        <v>5080.1043534373293</v>
      </c>
      <c r="K57" s="1354">
        <f t="shared" si="5"/>
        <v>-5080.1043534373293</v>
      </c>
      <c r="L57" s="1365">
        <f t="shared" si="6"/>
        <v>0</v>
      </c>
      <c r="M57" s="1365">
        <f t="shared" si="7"/>
        <v>-5080.1043534373293</v>
      </c>
    </row>
    <row r="58" spans="1:13" ht="14.25">
      <c r="A58" s="1186">
        <v>53</v>
      </c>
      <c r="B58" s="1186" t="s">
        <v>952</v>
      </c>
      <c r="C58" s="1351">
        <f>'Table 5C3 - LA Connections  '!C57</f>
        <v>30</v>
      </c>
      <c r="D58" s="1355">
        <f>[14]Sheet1!$K57</f>
        <v>20</v>
      </c>
      <c r="E58" s="1352">
        <f t="shared" si="1"/>
        <v>-10</v>
      </c>
      <c r="F58" s="1352">
        <f t="shared" si="2"/>
        <v>0</v>
      </c>
      <c r="G58" s="1352">
        <f t="shared" si="3"/>
        <v>-10</v>
      </c>
      <c r="H58" s="1356">
        <f>'Table 5C3 - LA Connections  '!D57</f>
        <v>4270.7827013792439</v>
      </c>
      <c r="I58" s="1356">
        <f>'Table 5C3 - LA Connections  '!F57</f>
        <v>620.76600000000008</v>
      </c>
      <c r="J58" s="1356">
        <f t="shared" si="4"/>
        <v>4891.5487013792444</v>
      </c>
      <c r="K58" s="1354">
        <f t="shared" si="5"/>
        <v>-48915.487013792444</v>
      </c>
      <c r="L58" s="1365">
        <f t="shared" si="6"/>
        <v>0</v>
      </c>
      <c r="M58" s="1365">
        <f t="shared" si="7"/>
        <v>-48915.487013792444</v>
      </c>
    </row>
    <row r="59" spans="1:13" ht="14.25">
      <c r="A59" s="1186">
        <v>54</v>
      </c>
      <c r="B59" s="1186" t="s">
        <v>953</v>
      </c>
      <c r="C59" s="1351">
        <f>'Table 5C3 - LA Connections  '!C58</f>
        <v>0</v>
      </c>
      <c r="D59" s="1355">
        <f>[14]Sheet1!$K58</f>
        <v>2</v>
      </c>
      <c r="E59" s="1352">
        <f t="shared" si="1"/>
        <v>2</v>
      </c>
      <c r="F59" s="1352">
        <f t="shared" si="2"/>
        <v>2</v>
      </c>
      <c r="G59" s="1352">
        <f t="shared" si="3"/>
        <v>0</v>
      </c>
      <c r="H59" s="1356">
        <f>'Table 5C3 - LA Connections  '!D58</f>
        <v>5088.86379648</v>
      </c>
      <c r="I59" s="1356">
        <f>'Table 5C3 - LA Connections  '!F58</f>
        <v>856.30500000000006</v>
      </c>
      <c r="J59" s="1356">
        <f t="shared" si="4"/>
        <v>5945.1687964800003</v>
      </c>
      <c r="K59" s="1354">
        <f t="shared" si="5"/>
        <v>11890.337592960001</v>
      </c>
      <c r="L59" s="1365">
        <f t="shared" si="6"/>
        <v>11890.337592960001</v>
      </c>
      <c r="M59" s="1365">
        <f t="shared" si="7"/>
        <v>0</v>
      </c>
    </row>
    <row r="60" spans="1:13" ht="14.25">
      <c r="A60" s="1192">
        <v>55</v>
      </c>
      <c r="B60" s="1192" t="s">
        <v>954</v>
      </c>
      <c r="C60" s="1357">
        <f>'Table 5C3 - LA Connections  '!C59</f>
        <v>17</v>
      </c>
      <c r="D60" s="1358">
        <f>[14]Sheet1!$K59</f>
        <v>13</v>
      </c>
      <c r="E60" s="1359">
        <f t="shared" si="1"/>
        <v>-4</v>
      </c>
      <c r="F60" s="1359">
        <f t="shared" si="2"/>
        <v>0</v>
      </c>
      <c r="G60" s="1359">
        <f t="shared" si="3"/>
        <v>-4</v>
      </c>
      <c r="H60" s="1361">
        <f>'Table 5C3 - LA Connections  '!D59</f>
        <v>3661.7481053348683</v>
      </c>
      <c r="I60" s="1361">
        <f>'Table 5C3 - LA Connections  '!F59</f>
        <v>715.62599999999998</v>
      </c>
      <c r="J60" s="1361">
        <f t="shared" si="4"/>
        <v>4377.3741053348685</v>
      </c>
      <c r="K60" s="1362">
        <f t="shared" si="5"/>
        <v>-17509.496421339474</v>
      </c>
      <c r="L60" s="1366">
        <f t="shared" si="6"/>
        <v>0</v>
      </c>
      <c r="M60" s="1366">
        <f t="shared" si="7"/>
        <v>-17509.496421339474</v>
      </c>
    </row>
    <row r="61" spans="1:13" ht="14.25">
      <c r="A61" s="1186">
        <v>56</v>
      </c>
      <c r="B61" s="1186" t="s">
        <v>652</v>
      </c>
      <c r="C61" s="1351">
        <f>'Table 5C3 - LA Connections  '!C60</f>
        <v>5</v>
      </c>
      <c r="D61" s="1351">
        <f>[14]Sheet1!$K60</f>
        <v>2</v>
      </c>
      <c r="E61" s="1352">
        <f t="shared" si="1"/>
        <v>-3</v>
      </c>
      <c r="F61" s="1352">
        <f t="shared" si="2"/>
        <v>0</v>
      </c>
      <c r="G61" s="1352">
        <f t="shared" si="3"/>
        <v>-3</v>
      </c>
      <c r="H61" s="1353">
        <f>'Table 5C3 - LA Connections  '!D60</f>
        <v>4589.6942743758955</v>
      </c>
      <c r="I61" s="1353">
        <f>'Table 5C3 - LA Connections  '!F60</f>
        <v>553.19400000000007</v>
      </c>
      <c r="J61" s="1353">
        <f t="shared" si="4"/>
        <v>5142.8882743758959</v>
      </c>
      <c r="K61" s="1354">
        <f t="shared" si="5"/>
        <v>-15428.664823127689</v>
      </c>
      <c r="L61" s="1365">
        <f t="shared" si="6"/>
        <v>0</v>
      </c>
      <c r="M61" s="1365">
        <f t="shared" si="7"/>
        <v>-15428.664823127689</v>
      </c>
    </row>
    <row r="62" spans="1:13" ht="14.25">
      <c r="A62" s="1186">
        <v>57</v>
      </c>
      <c r="B62" s="1186" t="s">
        <v>955</v>
      </c>
      <c r="C62" s="1351">
        <f>'Table 5C3 - LA Connections  '!C61</f>
        <v>4</v>
      </c>
      <c r="D62" s="1351">
        <f>[14]Sheet1!$K61</f>
        <v>6</v>
      </c>
      <c r="E62" s="1352">
        <f t="shared" si="1"/>
        <v>2</v>
      </c>
      <c r="F62" s="1352">
        <f t="shared" si="2"/>
        <v>2</v>
      </c>
      <c r="G62" s="1352">
        <f t="shared" si="3"/>
        <v>0</v>
      </c>
      <c r="H62" s="1353">
        <f>'Table 5C3 - LA Connections  '!D61</f>
        <v>4070.7778701927314</v>
      </c>
      <c r="I62" s="1353">
        <f>'Table 5C3 - LA Connections  '!F61</f>
        <v>688.05899999999997</v>
      </c>
      <c r="J62" s="1353">
        <f t="shared" si="4"/>
        <v>4758.8368701927311</v>
      </c>
      <c r="K62" s="1354">
        <f t="shared" si="5"/>
        <v>9517.6737403854622</v>
      </c>
      <c r="L62" s="1365">
        <f t="shared" si="6"/>
        <v>9517.6737403854622</v>
      </c>
      <c r="M62" s="1365">
        <f t="shared" si="7"/>
        <v>0</v>
      </c>
    </row>
    <row r="63" spans="1:13" ht="14.25">
      <c r="A63" s="1186">
        <v>58</v>
      </c>
      <c r="B63" s="1186" t="s">
        <v>956</v>
      </c>
      <c r="C63" s="1351">
        <f>'Table 5C3 - LA Connections  '!C62</f>
        <v>11</v>
      </c>
      <c r="D63" s="1355">
        <f>[14]Sheet1!$K62</f>
        <v>13</v>
      </c>
      <c r="E63" s="1352">
        <f t="shared" si="1"/>
        <v>2</v>
      </c>
      <c r="F63" s="1352">
        <f t="shared" si="2"/>
        <v>2</v>
      </c>
      <c r="G63" s="1352">
        <f t="shared" si="3"/>
        <v>0</v>
      </c>
      <c r="H63" s="1356">
        <f>'Table 5C3 - LA Connections  '!D62</f>
        <v>4756.468530368832</v>
      </c>
      <c r="I63" s="1356">
        <f>'Table 5C3 - LA Connections  '!F62</f>
        <v>627.33600000000001</v>
      </c>
      <c r="J63" s="1356">
        <f t="shared" si="4"/>
        <v>5383.8045303688323</v>
      </c>
      <c r="K63" s="1354">
        <f t="shared" si="5"/>
        <v>10767.609060737665</v>
      </c>
      <c r="L63" s="1365">
        <f t="shared" si="6"/>
        <v>10767.609060737665</v>
      </c>
      <c r="M63" s="1365">
        <f t="shared" si="7"/>
        <v>0</v>
      </c>
    </row>
    <row r="64" spans="1:13" ht="14.25">
      <c r="A64" s="1186">
        <v>59</v>
      </c>
      <c r="B64" s="1186" t="s">
        <v>957</v>
      </c>
      <c r="C64" s="1351">
        <f>'Table 5C3 - LA Connections  '!C63</f>
        <v>4</v>
      </c>
      <c r="D64" s="1355">
        <f>[14]Sheet1!$K63</f>
        <v>8</v>
      </c>
      <c r="E64" s="1352">
        <f t="shared" si="1"/>
        <v>4</v>
      </c>
      <c r="F64" s="1352">
        <f t="shared" si="2"/>
        <v>4</v>
      </c>
      <c r="G64" s="1352">
        <f t="shared" si="3"/>
        <v>0</v>
      </c>
      <c r="H64" s="1356">
        <f>'Table 5C3 - LA Connections  '!D63</f>
        <v>5589.7772228340255</v>
      </c>
      <c r="I64" s="1356">
        <f>'Table 5C3 - LA Connections  '!F63</f>
        <v>620.56799999999998</v>
      </c>
      <c r="J64" s="1356">
        <f t="shared" si="4"/>
        <v>6210.3452228340257</v>
      </c>
      <c r="K64" s="1354">
        <f t="shared" si="5"/>
        <v>24841.380891336103</v>
      </c>
      <c r="L64" s="1365">
        <f t="shared" si="6"/>
        <v>24841.380891336103</v>
      </c>
      <c r="M64" s="1365">
        <f t="shared" si="7"/>
        <v>0</v>
      </c>
    </row>
    <row r="65" spans="1:13" ht="14.25">
      <c r="A65" s="1192">
        <v>60</v>
      </c>
      <c r="B65" s="1192" t="s">
        <v>958</v>
      </c>
      <c r="C65" s="1357">
        <f>'Table 5C3 - LA Connections  '!C64</f>
        <v>10</v>
      </c>
      <c r="D65" s="1358">
        <f>[14]Sheet1!$K64</f>
        <v>17</v>
      </c>
      <c r="E65" s="1359">
        <f t="shared" si="1"/>
        <v>7</v>
      </c>
      <c r="F65" s="1359">
        <f t="shared" si="2"/>
        <v>7</v>
      </c>
      <c r="G65" s="1359">
        <f t="shared" si="3"/>
        <v>0</v>
      </c>
      <c r="H65" s="1361">
        <f>'Table 5C3 - LA Connections  '!D64</f>
        <v>4422.4714493933088</v>
      </c>
      <c r="I65" s="1361">
        <f>'Table 5C3 - LA Connections  '!F64</f>
        <v>534.63599999999997</v>
      </c>
      <c r="J65" s="1361">
        <f t="shared" si="4"/>
        <v>4957.1074493933083</v>
      </c>
      <c r="K65" s="1362">
        <f t="shared" si="5"/>
        <v>34699.752145753155</v>
      </c>
      <c r="L65" s="1366">
        <f t="shared" si="6"/>
        <v>34699.752145753155</v>
      </c>
      <c r="M65" s="1366">
        <f t="shared" si="7"/>
        <v>0</v>
      </c>
    </row>
    <row r="66" spans="1:13" ht="14.25">
      <c r="A66" s="1186">
        <v>61</v>
      </c>
      <c r="B66" s="1186" t="s">
        <v>959</v>
      </c>
      <c r="C66" s="1351">
        <f>'Table 5C3 - LA Connections  '!C65</f>
        <v>2</v>
      </c>
      <c r="D66" s="1351">
        <f>[14]Sheet1!$K65</f>
        <v>0</v>
      </c>
      <c r="E66" s="1352">
        <f t="shared" si="1"/>
        <v>-2</v>
      </c>
      <c r="F66" s="1352">
        <f t="shared" si="2"/>
        <v>0</v>
      </c>
      <c r="G66" s="1352">
        <f t="shared" si="3"/>
        <v>-2</v>
      </c>
      <c r="H66" s="1353">
        <f>'Table 5C3 - LA Connections  '!D65</f>
        <v>2631.4655293498095</v>
      </c>
      <c r="I66" s="1353">
        <f>'Table 5C3 - LA Connections  '!F65</f>
        <v>750.33899999999994</v>
      </c>
      <c r="J66" s="1353">
        <f t="shared" si="4"/>
        <v>3381.8045293498094</v>
      </c>
      <c r="K66" s="1354">
        <f t="shared" si="5"/>
        <v>-6763.6090586996188</v>
      </c>
      <c r="L66" s="1365">
        <f t="shared" si="6"/>
        <v>0</v>
      </c>
      <c r="M66" s="1365">
        <f t="shared" si="7"/>
        <v>-6763.6090586996188</v>
      </c>
    </row>
    <row r="67" spans="1:13" ht="14.25">
      <c r="A67" s="1186">
        <v>62</v>
      </c>
      <c r="B67" s="1186" t="s">
        <v>960</v>
      </c>
      <c r="C67" s="1351">
        <f>'Table 5C3 - LA Connections  '!C66</f>
        <v>3</v>
      </c>
      <c r="D67" s="1351">
        <f>[14]Sheet1!$K66</f>
        <v>2</v>
      </c>
      <c r="E67" s="1352">
        <f t="shared" si="1"/>
        <v>-1</v>
      </c>
      <c r="F67" s="1352">
        <f t="shared" si="2"/>
        <v>0</v>
      </c>
      <c r="G67" s="1352">
        <f t="shared" si="3"/>
        <v>-1</v>
      </c>
      <c r="H67" s="1353">
        <f>'Table 5C3 - LA Connections  '!D66</f>
        <v>4952.451925981527</v>
      </c>
      <c r="I67" s="1353">
        <f>'Table 5C3 - LA Connections  '!F66</f>
        <v>464.47200000000004</v>
      </c>
      <c r="J67" s="1353">
        <f t="shared" si="4"/>
        <v>5416.9239259815267</v>
      </c>
      <c r="K67" s="1354">
        <f t="shared" si="5"/>
        <v>-5416.9239259815267</v>
      </c>
      <c r="L67" s="1365">
        <f t="shared" si="6"/>
        <v>0</v>
      </c>
      <c r="M67" s="1365">
        <f t="shared" si="7"/>
        <v>-5416.9239259815267</v>
      </c>
    </row>
    <row r="68" spans="1:13" ht="14.25">
      <c r="A68" s="1186">
        <v>63</v>
      </c>
      <c r="B68" s="1186" t="s">
        <v>961</v>
      </c>
      <c r="C68" s="1351">
        <f>'Table 5C3 - LA Connections  '!C67</f>
        <v>3</v>
      </c>
      <c r="D68" s="1355">
        <f>[14]Sheet1!$K67</f>
        <v>6</v>
      </c>
      <c r="E68" s="1352">
        <f t="shared" si="1"/>
        <v>3</v>
      </c>
      <c r="F68" s="1352">
        <f t="shared" si="2"/>
        <v>3</v>
      </c>
      <c r="G68" s="1352">
        <f t="shared" si="3"/>
        <v>0</v>
      </c>
      <c r="H68" s="1356">
        <f>'Table 5C3 - LA Connections  '!D67</f>
        <v>3822.1503336417391</v>
      </c>
      <c r="I68" s="1356">
        <f>'Table 5C3 - LA Connections  '!F67</f>
        <v>681.11099999999999</v>
      </c>
      <c r="J68" s="1356">
        <f t="shared" si="4"/>
        <v>4503.2613336417389</v>
      </c>
      <c r="K68" s="1354">
        <f t="shared" si="5"/>
        <v>13509.784000925218</v>
      </c>
      <c r="L68" s="1365">
        <f t="shared" si="6"/>
        <v>13509.784000925218</v>
      </c>
      <c r="M68" s="1365">
        <f t="shared" si="7"/>
        <v>0</v>
      </c>
    </row>
    <row r="69" spans="1:13" ht="14.25">
      <c r="A69" s="1186">
        <v>64</v>
      </c>
      <c r="B69" s="1186" t="s">
        <v>962</v>
      </c>
      <c r="C69" s="1351">
        <f>'Table 5C3 - LA Connections  '!C68</f>
        <v>1</v>
      </c>
      <c r="D69" s="1355">
        <f>[14]Sheet1!$K68</f>
        <v>1</v>
      </c>
      <c r="E69" s="1352">
        <f t="shared" si="1"/>
        <v>0</v>
      </c>
      <c r="F69" s="1352">
        <f t="shared" si="2"/>
        <v>0</v>
      </c>
      <c r="G69" s="1352">
        <f t="shared" si="3"/>
        <v>0</v>
      </c>
      <c r="H69" s="1356">
        <f>'Table 5C3 - LA Connections  '!D68</f>
        <v>5271.286266696583</v>
      </c>
      <c r="I69" s="1356">
        <f>'Table 5C3 - LA Connections  '!F68</f>
        <v>533.39400000000001</v>
      </c>
      <c r="J69" s="1356">
        <f t="shared" si="4"/>
        <v>5804.6802666965832</v>
      </c>
      <c r="K69" s="1354">
        <f t="shared" si="5"/>
        <v>0</v>
      </c>
      <c r="L69" s="1365">
        <f t="shared" si="6"/>
        <v>0</v>
      </c>
      <c r="M69" s="1365">
        <f t="shared" si="7"/>
        <v>0</v>
      </c>
    </row>
    <row r="70" spans="1:13" ht="14.25">
      <c r="A70" s="1192">
        <v>65</v>
      </c>
      <c r="B70" s="1192" t="s">
        <v>963</v>
      </c>
      <c r="C70" s="1357">
        <f>'Table 5C3 - LA Connections  '!C69</f>
        <v>1</v>
      </c>
      <c r="D70" s="1358">
        <f>[14]Sheet1!$K69</f>
        <v>0</v>
      </c>
      <c r="E70" s="1359">
        <f t="shared" si="1"/>
        <v>-1</v>
      </c>
      <c r="F70" s="1359">
        <f t="shared" si="2"/>
        <v>0</v>
      </c>
      <c r="G70" s="1359">
        <f t="shared" si="3"/>
        <v>-1</v>
      </c>
      <c r="H70" s="1361">
        <f>'Table 5C3 - LA Connections  '!D69</f>
        <v>4058.1400565581794</v>
      </c>
      <c r="I70" s="1361">
        <f>'Table 5C3 - LA Connections  '!F69</f>
        <v>746.20799999999997</v>
      </c>
      <c r="J70" s="1361">
        <f t="shared" si="4"/>
        <v>4804.3480565581795</v>
      </c>
      <c r="K70" s="1362">
        <f t="shared" si="5"/>
        <v>-4804.3480565581795</v>
      </c>
      <c r="L70" s="1366">
        <f t="shared" si="6"/>
        <v>0</v>
      </c>
      <c r="M70" s="1366">
        <f t="shared" si="7"/>
        <v>-4804.3480565581795</v>
      </c>
    </row>
    <row r="71" spans="1:13" ht="14.25">
      <c r="A71" s="1197">
        <v>66</v>
      </c>
      <c r="B71" s="1197" t="s">
        <v>964</v>
      </c>
      <c r="C71" s="1351">
        <f>'Table 5C3 - LA Connections  '!C70</f>
        <v>6</v>
      </c>
      <c r="D71" s="1355">
        <f>[14]Sheet1!$K70</f>
        <v>0</v>
      </c>
      <c r="E71" s="1352">
        <f>D71-C71</f>
        <v>-6</v>
      </c>
      <c r="F71" s="1352">
        <f>IF(E71&gt;0,E71,0)</f>
        <v>0</v>
      </c>
      <c r="G71" s="1352">
        <f>IF(E71&lt;0,E71,0)</f>
        <v>-6</v>
      </c>
      <c r="H71" s="1356">
        <f>'Table 5C3 - LA Connections  '!D70</f>
        <v>5548.4334996842617</v>
      </c>
      <c r="I71" s="1356">
        <f>'Table 5C3 - LA Connections  '!F70</f>
        <v>657.05399999999997</v>
      </c>
      <c r="J71" s="1356">
        <f>I71+H71</f>
        <v>6205.4874996842618</v>
      </c>
      <c r="K71" s="1354">
        <f>E71*J71</f>
        <v>-37232.924998105569</v>
      </c>
      <c r="L71" s="1365">
        <f>IF(K71&gt;0,K71,0)</f>
        <v>0</v>
      </c>
      <c r="M71" s="1365">
        <f>IF(K71&lt;0,K71,0)</f>
        <v>-37232.924998105569</v>
      </c>
    </row>
    <row r="72" spans="1:13" ht="14.25">
      <c r="A72" s="1186">
        <v>67</v>
      </c>
      <c r="B72" s="1186" t="s">
        <v>965</v>
      </c>
      <c r="C72" s="1351">
        <f>'Table 5C3 - LA Connections  '!C71</f>
        <v>3</v>
      </c>
      <c r="D72" s="1351">
        <f>[14]Sheet1!$K71</f>
        <v>4</v>
      </c>
      <c r="E72" s="1352">
        <f>D72-C72</f>
        <v>1</v>
      </c>
      <c r="F72" s="1352">
        <f>IF(E72&gt;0,E72,0)</f>
        <v>1</v>
      </c>
      <c r="G72" s="1352">
        <f>IF(E72&lt;0,E72,0)</f>
        <v>0</v>
      </c>
      <c r="H72" s="1353">
        <f>'Table 5C3 - LA Connections  '!D71</f>
        <v>4497.9714675875975</v>
      </c>
      <c r="I72" s="1353">
        <f>'Table 5C3 - LA Connections  '!F71</f>
        <v>644.04899999999998</v>
      </c>
      <c r="J72" s="1353">
        <f>I72+H72</f>
        <v>5142.0204675875975</v>
      </c>
      <c r="K72" s="1354">
        <f>E72*J72</f>
        <v>5142.0204675875975</v>
      </c>
      <c r="L72" s="1365">
        <f>IF(K72&gt;0,K72,0)</f>
        <v>5142.0204675875975</v>
      </c>
      <c r="M72" s="1365">
        <f>IF(K72&lt;0,K72,0)</f>
        <v>0</v>
      </c>
    </row>
    <row r="73" spans="1:13" ht="14.25">
      <c r="A73" s="1186">
        <v>68</v>
      </c>
      <c r="B73" s="1186" t="s">
        <v>966</v>
      </c>
      <c r="C73" s="1351">
        <f>'Table 5C3 - LA Connections  '!C72</f>
        <v>1</v>
      </c>
      <c r="D73" s="1351">
        <f>[14]Sheet1!$K72</f>
        <v>3</v>
      </c>
      <c r="E73" s="1352">
        <f>D73-C73</f>
        <v>2</v>
      </c>
      <c r="F73" s="1352">
        <f>IF(E73&gt;0,E73,0)</f>
        <v>2</v>
      </c>
      <c r="G73" s="1352">
        <f>IF(E73&lt;0,E73,0)</f>
        <v>0</v>
      </c>
      <c r="H73" s="1353">
        <f>'Table 5C3 - LA Connections  '!D72</f>
        <v>5271.2040456958403</v>
      </c>
      <c r="I73" s="1353">
        <f>'Table 5C3 - LA Connections  '!F72</f>
        <v>718.83</v>
      </c>
      <c r="J73" s="1353">
        <f>I73+H73</f>
        <v>5990.0340456958402</v>
      </c>
      <c r="K73" s="1354">
        <f>E73*J73</f>
        <v>11980.06809139168</v>
      </c>
      <c r="L73" s="1365">
        <f>IF(K73&gt;0,K73,0)</f>
        <v>11980.06809139168</v>
      </c>
      <c r="M73" s="1365">
        <f>IF(K73&lt;0,K73,0)</f>
        <v>0</v>
      </c>
    </row>
    <row r="74" spans="1:13" ht="14.25">
      <c r="A74" s="1213">
        <v>69</v>
      </c>
      <c r="B74" s="1199" t="s">
        <v>967</v>
      </c>
      <c r="C74" s="1351">
        <f>'Table 5C3 - LA Connections  '!C73</f>
        <v>3</v>
      </c>
      <c r="D74" s="1351">
        <f>[14]Sheet1!$K73</f>
        <v>0</v>
      </c>
      <c r="E74" s="1352">
        <f>D74-C74</f>
        <v>-3</v>
      </c>
      <c r="F74" s="1352">
        <f>IF(E74&gt;0,E74,0)</f>
        <v>0</v>
      </c>
      <c r="G74" s="1352">
        <f>IF(E74&lt;0,E74,0)</f>
        <v>-3</v>
      </c>
      <c r="H74" s="1353">
        <f>'Table 5C3 - LA Connections  '!D73</f>
        <v>4943.9917793963914</v>
      </c>
      <c r="I74" s="1353">
        <f>'Table 5C3 - LA Connections  '!F73</f>
        <v>635.10299999999995</v>
      </c>
      <c r="J74" s="1353">
        <f>I74+H74</f>
        <v>5579.0947793963915</v>
      </c>
      <c r="K74" s="1354">
        <f>E74*J74</f>
        <v>-16737.284338189173</v>
      </c>
      <c r="L74" s="1365">
        <f>IF(K74&gt;0,K74,0)</f>
        <v>0</v>
      </c>
      <c r="M74" s="1365">
        <f>IF(K74&lt;0,K74,0)</f>
        <v>-16737.284338189173</v>
      </c>
    </row>
    <row r="75" spans="1:13" s="1204" customFormat="1" ht="15.75" thickBot="1">
      <c r="A75" s="1369"/>
      <c r="B75" s="1201" t="s">
        <v>1154</v>
      </c>
      <c r="C75" s="1370">
        <f>SUM(C6:C74)</f>
        <v>600</v>
      </c>
      <c r="D75" s="1370">
        <f t="shared" ref="D75:M75" si="8">SUM(D6:D74)</f>
        <v>597</v>
      </c>
      <c r="E75" s="1370">
        <f t="shared" si="8"/>
        <v>-3</v>
      </c>
      <c r="F75" s="1370">
        <f t="shared" si="8"/>
        <v>89</v>
      </c>
      <c r="G75" s="1370">
        <f t="shared" si="8"/>
        <v>-92</v>
      </c>
      <c r="H75" s="1371"/>
      <c r="I75" s="1371"/>
      <c r="J75" s="1371"/>
      <c r="K75" s="1371">
        <f t="shared" si="8"/>
        <v>1934.7349524267665</v>
      </c>
      <c r="L75" s="1371">
        <f t="shared" si="8"/>
        <v>434213.86638616701</v>
      </c>
      <c r="M75" s="1371">
        <f t="shared" si="8"/>
        <v>-432279.1314337402</v>
      </c>
    </row>
    <row r="76" spans="1:13" ht="13.5" thickTop="1"/>
  </sheetData>
  <mergeCells count="13">
    <mergeCell ref="F2:F3"/>
    <mergeCell ref="A2:A3"/>
    <mergeCell ref="B2:B3"/>
    <mergeCell ref="C2:C3"/>
    <mergeCell ref="D2:D3"/>
    <mergeCell ref="E2:E3"/>
    <mergeCell ref="M2:M3"/>
    <mergeCell ref="G2:G3"/>
    <mergeCell ref="H2:H3"/>
    <mergeCell ref="I2:I3"/>
    <mergeCell ref="J2:J3"/>
    <mergeCell ref="K2:K3"/>
    <mergeCell ref="L2:L3"/>
  </mergeCells>
  <pageMargins left="0.45" right="0.5" top="0.75" bottom="0.75" header="0.3" footer="0.3"/>
  <pageSetup paperSize="5" scale="43" orientation="portrait" r:id="rId1"/>
  <headerFooter>
    <oddHeader>&amp;L&amp;"Arial,Bold"&amp;24FY2011-12 MFP Budget Letter: October 1 Mid-year Adjustment for Students</oddHeader>
    <oddFooter>&amp;L&amp;Z&amp;F</oddFooter>
  </headerFooter>
</worksheet>
</file>

<file path=xl/worksheets/sheet22.xml><?xml version="1.0" encoding="utf-8"?>
<worksheet xmlns="http://schemas.openxmlformats.org/spreadsheetml/2006/main" xmlns:r="http://schemas.openxmlformats.org/officeDocument/2006/relationships">
  <dimension ref="A1:K76"/>
  <sheetViews>
    <sheetView view="pageBreakPreview" zoomScale="60" zoomScaleNormal="100" workbookViewId="0"/>
  </sheetViews>
  <sheetFormatPr defaultRowHeight="16.5" customHeight="1"/>
  <cols>
    <col min="1" max="1" width="5.5703125" style="1181" customWidth="1"/>
    <col min="2" max="2" width="61.28515625" style="1181" customWidth="1"/>
    <col min="3" max="3" width="12.42578125" style="1181" customWidth="1"/>
    <col min="4" max="5" width="12.5703125" style="1181" customWidth="1"/>
    <col min="6" max="6" width="11.7109375" style="1181" customWidth="1"/>
    <col min="7" max="7" width="11.85546875" style="1181" customWidth="1"/>
    <col min="8" max="8" width="13.140625" style="1465" customWidth="1"/>
    <col min="9" max="9" width="16.85546875" style="1465" customWidth="1"/>
    <col min="10" max="10" width="15.7109375" style="1181" customWidth="1"/>
    <col min="11" max="11" width="16.7109375" style="1181" customWidth="1"/>
    <col min="12" max="254" width="9.140625" style="1181"/>
    <col min="255" max="255" width="4.42578125" style="1181" customWidth="1"/>
    <col min="256" max="256" width="46.85546875" style="1181" customWidth="1"/>
    <col min="257" max="257" width="11.28515625" style="1181" bestFit="1" customWidth="1"/>
    <col min="258" max="258" width="11.42578125" style="1181" bestFit="1" customWidth="1"/>
    <col min="259" max="259" width="11.85546875" style="1181" customWidth="1"/>
    <col min="260" max="260" width="10" style="1181" customWidth="1"/>
    <col min="261" max="261" width="11.140625" style="1181" customWidth="1"/>
    <col min="262" max="262" width="10.28515625" style="1181" bestFit="1" customWidth="1"/>
    <col min="263" max="263" width="10.140625" style="1181" bestFit="1" customWidth="1"/>
    <col min="264" max="264" width="12" style="1181" bestFit="1" customWidth="1"/>
    <col min="265" max="265" width="14.28515625" style="1181" bestFit="1" customWidth="1"/>
    <col min="266" max="266" width="13.5703125" style="1181" bestFit="1" customWidth="1"/>
    <col min="267" max="267" width="13.85546875" style="1181" bestFit="1" customWidth="1"/>
    <col min="268" max="510" width="9.140625" style="1181"/>
    <col min="511" max="511" width="4.42578125" style="1181" customWidth="1"/>
    <col min="512" max="512" width="46.85546875" style="1181" customWidth="1"/>
    <col min="513" max="513" width="11.28515625" style="1181" bestFit="1" customWidth="1"/>
    <col min="514" max="514" width="11.42578125" style="1181" bestFit="1" customWidth="1"/>
    <col min="515" max="515" width="11.85546875" style="1181" customWidth="1"/>
    <col min="516" max="516" width="10" style="1181" customWidth="1"/>
    <col min="517" max="517" width="11.140625" style="1181" customWidth="1"/>
    <col min="518" max="518" width="10.28515625" style="1181" bestFit="1" customWidth="1"/>
    <col min="519" max="519" width="10.140625" style="1181" bestFit="1" customWidth="1"/>
    <col min="520" max="520" width="12" style="1181" bestFit="1" customWidth="1"/>
    <col min="521" max="521" width="14.28515625" style="1181" bestFit="1" customWidth="1"/>
    <col min="522" max="522" width="13.5703125" style="1181" bestFit="1" customWidth="1"/>
    <col min="523" max="523" width="13.85546875" style="1181" bestFit="1" customWidth="1"/>
    <col min="524" max="766" width="9.140625" style="1181"/>
    <col min="767" max="767" width="4.42578125" style="1181" customWidth="1"/>
    <col min="768" max="768" width="46.85546875" style="1181" customWidth="1"/>
    <col min="769" max="769" width="11.28515625" style="1181" bestFit="1" customWidth="1"/>
    <col min="770" max="770" width="11.42578125" style="1181" bestFit="1" customWidth="1"/>
    <col min="771" max="771" width="11.85546875" style="1181" customWidth="1"/>
    <col min="772" max="772" width="10" style="1181" customWidth="1"/>
    <col min="773" max="773" width="11.140625" style="1181" customWidth="1"/>
    <col min="774" max="774" width="10.28515625" style="1181" bestFit="1" customWidth="1"/>
    <col min="775" max="775" width="10.140625" style="1181" bestFit="1" customWidth="1"/>
    <col min="776" max="776" width="12" style="1181" bestFit="1" customWidth="1"/>
    <col min="777" max="777" width="14.28515625" style="1181" bestFit="1" customWidth="1"/>
    <col min="778" max="778" width="13.5703125" style="1181" bestFit="1" customWidth="1"/>
    <col min="779" max="779" width="13.85546875" style="1181" bestFit="1" customWidth="1"/>
    <col min="780" max="1022" width="9.140625" style="1181"/>
    <col min="1023" max="1023" width="4.42578125" style="1181" customWidth="1"/>
    <col min="1024" max="1024" width="46.85546875" style="1181" customWidth="1"/>
    <col min="1025" max="1025" width="11.28515625" style="1181" bestFit="1" customWidth="1"/>
    <col min="1026" max="1026" width="11.42578125" style="1181" bestFit="1" customWidth="1"/>
    <col min="1027" max="1027" width="11.85546875" style="1181" customWidth="1"/>
    <col min="1028" max="1028" width="10" style="1181" customWidth="1"/>
    <col min="1029" max="1029" width="11.140625" style="1181" customWidth="1"/>
    <col min="1030" max="1030" width="10.28515625" style="1181" bestFit="1" customWidth="1"/>
    <col min="1031" max="1031" width="10.140625" style="1181" bestFit="1" customWidth="1"/>
    <col min="1032" max="1032" width="12" style="1181" bestFit="1" customWidth="1"/>
    <col min="1033" max="1033" width="14.28515625" style="1181" bestFit="1" customWidth="1"/>
    <col min="1034" max="1034" width="13.5703125" style="1181" bestFit="1" customWidth="1"/>
    <col min="1035" max="1035" width="13.85546875" style="1181" bestFit="1" customWidth="1"/>
    <col min="1036" max="1278" width="9.140625" style="1181"/>
    <col min="1279" max="1279" width="4.42578125" style="1181" customWidth="1"/>
    <col min="1280" max="1280" width="46.85546875" style="1181" customWidth="1"/>
    <col min="1281" max="1281" width="11.28515625" style="1181" bestFit="1" customWidth="1"/>
    <col min="1282" max="1282" width="11.42578125" style="1181" bestFit="1" customWidth="1"/>
    <col min="1283" max="1283" width="11.85546875" style="1181" customWidth="1"/>
    <col min="1284" max="1284" width="10" style="1181" customWidth="1"/>
    <col min="1285" max="1285" width="11.140625" style="1181" customWidth="1"/>
    <col min="1286" max="1286" width="10.28515625" style="1181" bestFit="1" customWidth="1"/>
    <col min="1287" max="1287" width="10.140625" style="1181" bestFit="1" customWidth="1"/>
    <col min="1288" max="1288" width="12" style="1181" bestFit="1" customWidth="1"/>
    <col min="1289" max="1289" width="14.28515625" style="1181" bestFit="1" customWidth="1"/>
    <col min="1290" max="1290" width="13.5703125" style="1181" bestFit="1" customWidth="1"/>
    <col min="1291" max="1291" width="13.85546875" style="1181" bestFit="1" customWidth="1"/>
    <col min="1292" max="1534" width="9.140625" style="1181"/>
    <col min="1535" max="1535" width="4.42578125" style="1181" customWidth="1"/>
    <col min="1536" max="1536" width="46.85546875" style="1181" customWidth="1"/>
    <col min="1537" max="1537" width="11.28515625" style="1181" bestFit="1" customWidth="1"/>
    <col min="1538" max="1538" width="11.42578125" style="1181" bestFit="1" customWidth="1"/>
    <col min="1539" max="1539" width="11.85546875" style="1181" customWidth="1"/>
    <col min="1540" max="1540" width="10" style="1181" customWidth="1"/>
    <col min="1541" max="1541" width="11.140625" style="1181" customWidth="1"/>
    <col min="1542" max="1542" width="10.28515625" style="1181" bestFit="1" customWidth="1"/>
    <col min="1543" max="1543" width="10.140625" style="1181" bestFit="1" customWidth="1"/>
    <col min="1544" max="1544" width="12" style="1181" bestFit="1" customWidth="1"/>
    <col min="1545" max="1545" width="14.28515625" style="1181" bestFit="1" customWidth="1"/>
    <col min="1546" max="1546" width="13.5703125" style="1181" bestFit="1" customWidth="1"/>
    <col min="1547" max="1547" width="13.85546875" style="1181" bestFit="1" customWidth="1"/>
    <col min="1548" max="1790" width="9.140625" style="1181"/>
    <col min="1791" max="1791" width="4.42578125" style="1181" customWidth="1"/>
    <col min="1792" max="1792" width="46.85546875" style="1181" customWidth="1"/>
    <col min="1793" max="1793" width="11.28515625" style="1181" bestFit="1" customWidth="1"/>
    <col min="1794" max="1794" width="11.42578125" style="1181" bestFit="1" customWidth="1"/>
    <col min="1795" max="1795" width="11.85546875" style="1181" customWidth="1"/>
    <col min="1796" max="1796" width="10" style="1181" customWidth="1"/>
    <col min="1797" max="1797" width="11.140625" style="1181" customWidth="1"/>
    <col min="1798" max="1798" width="10.28515625" style="1181" bestFit="1" customWidth="1"/>
    <col min="1799" max="1799" width="10.140625" style="1181" bestFit="1" customWidth="1"/>
    <col min="1800" max="1800" width="12" style="1181" bestFit="1" customWidth="1"/>
    <col min="1801" max="1801" width="14.28515625" style="1181" bestFit="1" customWidth="1"/>
    <col min="1802" max="1802" width="13.5703125" style="1181" bestFit="1" customWidth="1"/>
    <col min="1803" max="1803" width="13.85546875" style="1181" bestFit="1" customWidth="1"/>
    <col min="1804" max="2046" width="9.140625" style="1181"/>
    <col min="2047" max="2047" width="4.42578125" style="1181" customWidth="1"/>
    <col min="2048" max="2048" width="46.85546875" style="1181" customWidth="1"/>
    <col min="2049" max="2049" width="11.28515625" style="1181" bestFit="1" customWidth="1"/>
    <col min="2050" max="2050" width="11.42578125" style="1181" bestFit="1" customWidth="1"/>
    <col min="2051" max="2051" width="11.85546875" style="1181" customWidth="1"/>
    <col min="2052" max="2052" width="10" style="1181" customWidth="1"/>
    <col min="2053" max="2053" width="11.140625" style="1181" customWidth="1"/>
    <col min="2054" max="2054" width="10.28515625" style="1181" bestFit="1" customWidth="1"/>
    <col min="2055" max="2055" width="10.140625" style="1181" bestFit="1" customWidth="1"/>
    <col min="2056" max="2056" width="12" style="1181" bestFit="1" customWidth="1"/>
    <col min="2057" max="2057" width="14.28515625" style="1181" bestFit="1" customWidth="1"/>
    <col min="2058" max="2058" width="13.5703125" style="1181" bestFit="1" customWidth="1"/>
    <col min="2059" max="2059" width="13.85546875" style="1181" bestFit="1" customWidth="1"/>
    <col min="2060" max="2302" width="9.140625" style="1181"/>
    <col min="2303" max="2303" width="4.42578125" style="1181" customWidth="1"/>
    <col min="2304" max="2304" width="46.85546875" style="1181" customWidth="1"/>
    <col min="2305" max="2305" width="11.28515625" style="1181" bestFit="1" customWidth="1"/>
    <col min="2306" max="2306" width="11.42578125" style="1181" bestFit="1" customWidth="1"/>
    <col min="2307" max="2307" width="11.85546875" style="1181" customWidth="1"/>
    <col min="2308" max="2308" width="10" style="1181" customWidth="1"/>
    <col min="2309" max="2309" width="11.140625" style="1181" customWidth="1"/>
    <col min="2310" max="2310" width="10.28515625" style="1181" bestFit="1" customWidth="1"/>
    <col min="2311" max="2311" width="10.140625" style="1181" bestFit="1" customWidth="1"/>
    <col min="2312" max="2312" width="12" style="1181" bestFit="1" customWidth="1"/>
    <col min="2313" max="2313" width="14.28515625" style="1181" bestFit="1" customWidth="1"/>
    <col min="2314" max="2314" width="13.5703125" style="1181" bestFit="1" customWidth="1"/>
    <col min="2315" max="2315" width="13.85546875" style="1181" bestFit="1" customWidth="1"/>
    <col min="2316" max="2558" width="9.140625" style="1181"/>
    <col min="2559" max="2559" width="4.42578125" style="1181" customWidth="1"/>
    <col min="2560" max="2560" width="46.85546875" style="1181" customWidth="1"/>
    <col min="2561" max="2561" width="11.28515625" style="1181" bestFit="1" customWidth="1"/>
    <col min="2562" max="2562" width="11.42578125" style="1181" bestFit="1" customWidth="1"/>
    <col min="2563" max="2563" width="11.85546875" style="1181" customWidth="1"/>
    <col min="2564" max="2564" width="10" style="1181" customWidth="1"/>
    <col min="2565" max="2565" width="11.140625" style="1181" customWidth="1"/>
    <col min="2566" max="2566" width="10.28515625" style="1181" bestFit="1" customWidth="1"/>
    <col min="2567" max="2567" width="10.140625" style="1181" bestFit="1" customWidth="1"/>
    <col min="2568" max="2568" width="12" style="1181" bestFit="1" customWidth="1"/>
    <col min="2569" max="2569" width="14.28515625" style="1181" bestFit="1" customWidth="1"/>
    <col min="2570" max="2570" width="13.5703125" style="1181" bestFit="1" customWidth="1"/>
    <col min="2571" max="2571" width="13.85546875" style="1181" bestFit="1" customWidth="1"/>
    <col min="2572" max="2814" width="9.140625" style="1181"/>
    <col min="2815" max="2815" width="4.42578125" style="1181" customWidth="1"/>
    <col min="2816" max="2816" width="46.85546875" style="1181" customWidth="1"/>
    <col min="2817" max="2817" width="11.28515625" style="1181" bestFit="1" customWidth="1"/>
    <col min="2818" max="2818" width="11.42578125" style="1181" bestFit="1" customWidth="1"/>
    <col min="2819" max="2819" width="11.85546875" style="1181" customWidth="1"/>
    <col min="2820" max="2820" width="10" style="1181" customWidth="1"/>
    <col min="2821" max="2821" width="11.140625" style="1181" customWidth="1"/>
    <col min="2822" max="2822" width="10.28515625" style="1181" bestFit="1" customWidth="1"/>
    <col min="2823" max="2823" width="10.140625" style="1181" bestFit="1" customWidth="1"/>
    <col min="2824" max="2824" width="12" style="1181" bestFit="1" customWidth="1"/>
    <col min="2825" max="2825" width="14.28515625" style="1181" bestFit="1" customWidth="1"/>
    <col min="2826" max="2826" width="13.5703125" style="1181" bestFit="1" customWidth="1"/>
    <col min="2827" max="2827" width="13.85546875" style="1181" bestFit="1" customWidth="1"/>
    <col min="2828" max="3070" width="9.140625" style="1181"/>
    <col min="3071" max="3071" width="4.42578125" style="1181" customWidth="1"/>
    <col min="3072" max="3072" width="46.85546875" style="1181" customWidth="1"/>
    <col min="3073" max="3073" width="11.28515625" style="1181" bestFit="1" customWidth="1"/>
    <col min="3074" max="3074" width="11.42578125" style="1181" bestFit="1" customWidth="1"/>
    <col min="3075" max="3075" width="11.85546875" style="1181" customWidth="1"/>
    <col min="3076" max="3076" width="10" style="1181" customWidth="1"/>
    <col min="3077" max="3077" width="11.140625" style="1181" customWidth="1"/>
    <col min="3078" max="3078" width="10.28515625" style="1181" bestFit="1" customWidth="1"/>
    <col min="3079" max="3079" width="10.140625" style="1181" bestFit="1" customWidth="1"/>
    <col min="3080" max="3080" width="12" style="1181" bestFit="1" customWidth="1"/>
    <col min="3081" max="3081" width="14.28515625" style="1181" bestFit="1" customWidth="1"/>
    <col min="3082" max="3082" width="13.5703125" style="1181" bestFit="1" customWidth="1"/>
    <col min="3083" max="3083" width="13.85546875" style="1181" bestFit="1" customWidth="1"/>
    <col min="3084" max="3326" width="9.140625" style="1181"/>
    <col min="3327" max="3327" width="4.42578125" style="1181" customWidth="1"/>
    <col min="3328" max="3328" width="46.85546875" style="1181" customWidth="1"/>
    <col min="3329" max="3329" width="11.28515625" style="1181" bestFit="1" customWidth="1"/>
    <col min="3330" max="3330" width="11.42578125" style="1181" bestFit="1" customWidth="1"/>
    <col min="3331" max="3331" width="11.85546875" style="1181" customWidth="1"/>
    <col min="3332" max="3332" width="10" style="1181" customWidth="1"/>
    <col min="3333" max="3333" width="11.140625" style="1181" customWidth="1"/>
    <col min="3334" max="3334" width="10.28515625" style="1181" bestFit="1" customWidth="1"/>
    <col min="3335" max="3335" width="10.140625" style="1181" bestFit="1" customWidth="1"/>
    <col min="3336" max="3336" width="12" style="1181" bestFit="1" customWidth="1"/>
    <col min="3337" max="3337" width="14.28515625" style="1181" bestFit="1" customWidth="1"/>
    <col min="3338" max="3338" width="13.5703125" style="1181" bestFit="1" customWidth="1"/>
    <col min="3339" max="3339" width="13.85546875" style="1181" bestFit="1" customWidth="1"/>
    <col min="3340" max="3582" width="9.140625" style="1181"/>
    <col min="3583" max="3583" width="4.42578125" style="1181" customWidth="1"/>
    <col min="3584" max="3584" width="46.85546875" style="1181" customWidth="1"/>
    <col min="3585" max="3585" width="11.28515625" style="1181" bestFit="1" customWidth="1"/>
    <col min="3586" max="3586" width="11.42578125" style="1181" bestFit="1" customWidth="1"/>
    <col min="3587" max="3587" width="11.85546875" style="1181" customWidth="1"/>
    <col min="3588" max="3588" width="10" style="1181" customWidth="1"/>
    <col min="3589" max="3589" width="11.140625" style="1181" customWidth="1"/>
    <col min="3590" max="3590" width="10.28515625" style="1181" bestFit="1" customWidth="1"/>
    <col min="3591" max="3591" width="10.140625" style="1181" bestFit="1" customWidth="1"/>
    <col min="3592" max="3592" width="12" style="1181" bestFit="1" customWidth="1"/>
    <col min="3593" max="3593" width="14.28515625" style="1181" bestFit="1" customWidth="1"/>
    <col min="3594" max="3594" width="13.5703125" style="1181" bestFit="1" customWidth="1"/>
    <col min="3595" max="3595" width="13.85546875" style="1181" bestFit="1" customWidth="1"/>
    <col min="3596" max="3838" width="9.140625" style="1181"/>
    <col min="3839" max="3839" width="4.42578125" style="1181" customWidth="1"/>
    <col min="3840" max="3840" width="46.85546875" style="1181" customWidth="1"/>
    <col min="3841" max="3841" width="11.28515625" style="1181" bestFit="1" customWidth="1"/>
    <col min="3842" max="3842" width="11.42578125" style="1181" bestFit="1" customWidth="1"/>
    <col min="3843" max="3843" width="11.85546875" style="1181" customWidth="1"/>
    <col min="3844" max="3844" width="10" style="1181" customWidth="1"/>
    <col min="3845" max="3845" width="11.140625" style="1181" customWidth="1"/>
    <col min="3846" max="3846" width="10.28515625" style="1181" bestFit="1" customWidth="1"/>
    <col min="3847" max="3847" width="10.140625" style="1181" bestFit="1" customWidth="1"/>
    <col min="3848" max="3848" width="12" style="1181" bestFit="1" customWidth="1"/>
    <col min="3849" max="3849" width="14.28515625" style="1181" bestFit="1" customWidth="1"/>
    <col min="3850" max="3850" width="13.5703125" style="1181" bestFit="1" customWidth="1"/>
    <col min="3851" max="3851" width="13.85546875" style="1181" bestFit="1" customWidth="1"/>
    <col min="3852" max="4094" width="9.140625" style="1181"/>
    <col min="4095" max="4095" width="4.42578125" style="1181" customWidth="1"/>
    <col min="4096" max="4096" width="46.85546875" style="1181" customWidth="1"/>
    <col min="4097" max="4097" width="11.28515625" style="1181" bestFit="1" customWidth="1"/>
    <col min="4098" max="4098" width="11.42578125" style="1181" bestFit="1" customWidth="1"/>
    <col min="4099" max="4099" width="11.85546875" style="1181" customWidth="1"/>
    <col min="4100" max="4100" width="10" style="1181" customWidth="1"/>
    <col min="4101" max="4101" width="11.140625" style="1181" customWidth="1"/>
    <col min="4102" max="4102" width="10.28515625" style="1181" bestFit="1" customWidth="1"/>
    <col min="4103" max="4103" width="10.140625" style="1181" bestFit="1" customWidth="1"/>
    <col min="4104" max="4104" width="12" style="1181" bestFit="1" customWidth="1"/>
    <col min="4105" max="4105" width="14.28515625" style="1181" bestFit="1" customWidth="1"/>
    <col min="4106" max="4106" width="13.5703125" style="1181" bestFit="1" customWidth="1"/>
    <col min="4107" max="4107" width="13.85546875" style="1181" bestFit="1" customWidth="1"/>
    <col min="4108" max="4350" width="9.140625" style="1181"/>
    <col min="4351" max="4351" width="4.42578125" style="1181" customWidth="1"/>
    <col min="4352" max="4352" width="46.85546875" style="1181" customWidth="1"/>
    <col min="4353" max="4353" width="11.28515625" style="1181" bestFit="1" customWidth="1"/>
    <col min="4354" max="4354" width="11.42578125" style="1181" bestFit="1" customWidth="1"/>
    <col min="4355" max="4355" width="11.85546875" style="1181" customWidth="1"/>
    <col min="4356" max="4356" width="10" style="1181" customWidth="1"/>
    <col min="4357" max="4357" width="11.140625" style="1181" customWidth="1"/>
    <col min="4358" max="4358" width="10.28515625" style="1181" bestFit="1" customWidth="1"/>
    <col min="4359" max="4359" width="10.140625" style="1181" bestFit="1" customWidth="1"/>
    <col min="4360" max="4360" width="12" style="1181" bestFit="1" customWidth="1"/>
    <col min="4361" max="4361" width="14.28515625" style="1181" bestFit="1" customWidth="1"/>
    <col min="4362" max="4362" width="13.5703125" style="1181" bestFit="1" customWidth="1"/>
    <col min="4363" max="4363" width="13.85546875" style="1181" bestFit="1" customWidth="1"/>
    <col min="4364" max="4606" width="9.140625" style="1181"/>
    <col min="4607" max="4607" width="4.42578125" style="1181" customWidth="1"/>
    <col min="4608" max="4608" width="46.85546875" style="1181" customWidth="1"/>
    <col min="4609" max="4609" width="11.28515625" style="1181" bestFit="1" customWidth="1"/>
    <col min="4610" max="4610" width="11.42578125" style="1181" bestFit="1" customWidth="1"/>
    <col min="4611" max="4611" width="11.85546875" style="1181" customWidth="1"/>
    <col min="4612" max="4612" width="10" style="1181" customWidth="1"/>
    <col min="4613" max="4613" width="11.140625" style="1181" customWidth="1"/>
    <col min="4614" max="4614" width="10.28515625" style="1181" bestFit="1" customWidth="1"/>
    <col min="4615" max="4615" width="10.140625" style="1181" bestFit="1" customWidth="1"/>
    <col min="4616" max="4616" width="12" style="1181" bestFit="1" customWidth="1"/>
    <col min="4617" max="4617" width="14.28515625" style="1181" bestFit="1" customWidth="1"/>
    <col min="4618" max="4618" width="13.5703125" style="1181" bestFit="1" customWidth="1"/>
    <col min="4619" max="4619" width="13.85546875" style="1181" bestFit="1" customWidth="1"/>
    <col min="4620" max="4862" width="9.140625" style="1181"/>
    <col min="4863" max="4863" width="4.42578125" style="1181" customWidth="1"/>
    <col min="4864" max="4864" width="46.85546875" style="1181" customWidth="1"/>
    <col min="4865" max="4865" width="11.28515625" style="1181" bestFit="1" customWidth="1"/>
    <col min="4866" max="4866" width="11.42578125" style="1181" bestFit="1" customWidth="1"/>
    <col min="4867" max="4867" width="11.85546875" style="1181" customWidth="1"/>
    <col min="4868" max="4868" width="10" style="1181" customWidth="1"/>
    <col min="4869" max="4869" width="11.140625" style="1181" customWidth="1"/>
    <col min="4870" max="4870" width="10.28515625" style="1181" bestFit="1" customWidth="1"/>
    <col min="4871" max="4871" width="10.140625" style="1181" bestFit="1" customWidth="1"/>
    <col min="4872" max="4872" width="12" style="1181" bestFit="1" customWidth="1"/>
    <col min="4873" max="4873" width="14.28515625" style="1181" bestFit="1" customWidth="1"/>
    <col min="4874" max="4874" width="13.5703125" style="1181" bestFit="1" customWidth="1"/>
    <col min="4875" max="4875" width="13.85546875" style="1181" bestFit="1" customWidth="1"/>
    <col min="4876" max="5118" width="9.140625" style="1181"/>
    <col min="5119" max="5119" width="4.42578125" style="1181" customWidth="1"/>
    <col min="5120" max="5120" width="46.85546875" style="1181" customWidth="1"/>
    <col min="5121" max="5121" width="11.28515625" style="1181" bestFit="1" customWidth="1"/>
    <col min="5122" max="5122" width="11.42578125" style="1181" bestFit="1" customWidth="1"/>
    <col min="5123" max="5123" width="11.85546875" style="1181" customWidth="1"/>
    <col min="5124" max="5124" width="10" style="1181" customWidth="1"/>
    <col min="5125" max="5125" width="11.140625" style="1181" customWidth="1"/>
    <col min="5126" max="5126" width="10.28515625" style="1181" bestFit="1" customWidth="1"/>
    <col min="5127" max="5127" width="10.140625" style="1181" bestFit="1" customWidth="1"/>
    <col min="5128" max="5128" width="12" style="1181" bestFit="1" customWidth="1"/>
    <col min="5129" max="5129" width="14.28515625" style="1181" bestFit="1" customWidth="1"/>
    <col min="5130" max="5130" width="13.5703125" style="1181" bestFit="1" customWidth="1"/>
    <col min="5131" max="5131" width="13.85546875" style="1181" bestFit="1" customWidth="1"/>
    <col min="5132" max="5374" width="9.140625" style="1181"/>
    <col min="5375" max="5375" width="4.42578125" style="1181" customWidth="1"/>
    <col min="5376" max="5376" width="46.85546875" style="1181" customWidth="1"/>
    <col min="5377" max="5377" width="11.28515625" style="1181" bestFit="1" customWidth="1"/>
    <col min="5378" max="5378" width="11.42578125" style="1181" bestFit="1" customWidth="1"/>
    <col min="5379" max="5379" width="11.85546875" style="1181" customWidth="1"/>
    <col min="5380" max="5380" width="10" style="1181" customWidth="1"/>
    <col min="5381" max="5381" width="11.140625" style="1181" customWidth="1"/>
    <col min="5382" max="5382" width="10.28515625" style="1181" bestFit="1" customWidth="1"/>
    <col min="5383" max="5383" width="10.140625" style="1181" bestFit="1" customWidth="1"/>
    <col min="5384" max="5384" width="12" style="1181" bestFit="1" customWidth="1"/>
    <col min="5385" max="5385" width="14.28515625" style="1181" bestFit="1" customWidth="1"/>
    <col min="5386" max="5386" width="13.5703125" style="1181" bestFit="1" customWidth="1"/>
    <col min="5387" max="5387" width="13.85546875" style="1181" bestFit="1" customWidth="1"/>
    <col min="5388" max="5630" width="9.140625" style="1181"/>
    <col min="5631" max="5631" width="4.42578125" style="1181" customWidth="1"/>
    <col min="5632" max="5632" width="46.85546875" style="1181" customWidth="1"/>
    <col min="5633" max="5633" width="11.28515625" style="1181" bestFit="1" customWidth="1"/>
    <col min="5634" max="5634" width="11.42578125" style="1181" bestFit="1" customWidth="1"/>
    <col min="5635" max="5635" width="11.85546875" style="1181" customWidth="1"/>
    <col min="5636" max="5636" width="10" style="1181" customWidth="1"/>
    <col min="5637" max="5637" width="11.140625" style="1181" customWidth="1"/>
    <col min="5638" max="5638" width="10.28515625" style="1181" bestFit="1" customWidth="1"/>
    <col min="5639" max="5639" width="10.140625" style="1181" bestFit="1" customWidth="1"/>
    <col min="5640" max="5640" width="12" style="1181" bestFit="1" customWidth="1"/>
    <col min="5641" max="5641" width="14.28515625" style="1181" bestFit="1" customWidth="1"/>
    <col min="5642" max="5642" width="13.5703125" style="1181" bestFit="1" customWidth="1"/>
    <col min="5643" max="5643" width="13.85546875" style="1181" bestFit="1" customWidth="1"/>
    <col min="5644" max="5886" width="9.140625" style="1181"/>
    <col min="5887" max="5887" width="4.42578125" style="1181" customWidth="1"/>
    <col min="5888" max="5888" width="46.85546875" style="1181" customWidth="1"/>
    <col min="5889" max="5889" width="11.28515625" style="1181" bestFit="1" customWidth="1"/>
    <col min="5890" max="5890" width="11.42578125" style="1181" bestFit="1" customWidth="1"/>
    <col min="5891" max="5891" width="11.85546875" style="1181" customWidth="1"/>
    <col min="5892" max="5892" width="10" style="1181" customWidth="1"/>
    <col min="5893" max="5893" width="11.140625" style="1181" customWidth="1"/>
    <col min="5894" max="5894" width="10.28515625" style="1181" bestFit="1" customWidth="1"/>
    <col min="5895" max="5895" width="10.140625" style="1181" bestFit="1" customWidth="1"/>
    <col min="5896" max="5896" width="12" style="1181" bestFit="1" customWidth="1"/>
    <col min="5897" max="5897" width="14.28515625" style="1181" bestFit="1" customWidth="1"/>
    <col min="5898" max="5898" width="13.5703125" style="1181" bestFit="1" customWidth="1"/>
    <col min="5899" max="5899" width="13.85546875" style="1181" bestFit="1" customWidth="1"/>
    <col min="5900" max="6142" width="9.140625" style="1181"/>
    <col min="6143" max="6143" width="4.42578125" style="1181" customWidth="1"/>
    <col min="6144" max="6144" width="46.85546875" style="1181" customWidth="1"/>
    <col min="6145" max="6145" width="11.28515625" style="1181" bestFit="1" customWidth="1"/>
    <col min="6146" max="6146" width="11.42578125" style="1181" bestFit="1" customWidth="1"/>
    <col min="6147" max="6147" width="11.85546875" style="1181" customWidth="1"/>
    <col min="6148" max="6148" width="10" style="1181" customWidth="1"/>
    <col min="6149" max="6149" width="11.140625" style="1181" customWidth="1"/>
    <col min="6150" max="6150" width="10.28515625" style="1181" bestFit="1" customWidth="1"/>
    <col min="6151" max="6151" width="10.140625" style="1181" bestFit="1" customWidth="1"/>
    <col min="6152" max="6152" width="12" style="1181" bestFit="1" customWidth="1"/>
    <col min="6153" max="6153" width="14.28515625" style="1181" bestFit="1" customWidth="1"/>
    <col min="6154" max="6154" width="13.5703125" style="1181" bestFit="1" customWidth="1"/>
    <col min="6155" max="6155" width="13.85546875" style="1181" bestFit="1" customWidth="1"/>
    <col min="6156" max="6398" width="9.140625" style="1181"/>
    <col min="6399" max="6399" width="4.42578125" style="1181" customWidth="1"/>
    <col min="6400" max="6400" width="46.85546875" style="1181" customWidth="1"/>
    <col min="6401" max="6401" width="11.28515625" style="1181" bestFit="1" customWidth="1"/>
    <col min="6402" max="6402" width="11.42578125" style="1181" bestFit="1" customWidth="1"/>
    <col min="6403" max="6403" width="11.85546875" style="1181" customWidth="1"/>
    <col min="6404" max="6404" width="10" style="1181" customWidth="1"/>
    <col min="6405" max="6405" width="11.140625" style="1181" customWidth="1"/>
    <col min="6406" max="6406" width="10.28515625" style="1181" bestFit="1" customWidth="1"/>
    <col min="6407" max="6407" width="10.140625" style="1181" bestFit="1" customWidth="1"/>
    <col min="6408" max="6408" width="12" style="1181" bestFit="1" customWidth="1"/>
    <col min="6409" max="6409" width="14.28515625" style="1181" bestFit="1" customWidth="1"/>
    <col min="6410" max="6410" width="13.5703125" style="1181" bestFit="1" customWidth="1"/>
    <col min="6411" max="6411" width="13.85546875" style="1181" bestFit="1" customWidth="1"/>
    <col min="6412" max="6654" width="9.140625" style="1181"/>
    <col min="6655" max="6655" width="4.42578125" style="1181" customWidth="1"/>
    <col min="6656" max="6656" width="46.85546875" style="1181" customWidth="1"/>
    <col min="6657" max="6657" width="11.28515625" style="1181" bestFit="1" customWidth="1"/>
    <col min="6658" max="6658" width="11.42578125" style="1181" bestFit="1" customWidth="1"/>
    <col min="6659" max="6659" width="11.85546875" style="1181" customWidth="1"/>
    <col min="6660" max="6660" width="10" style="1181" customWidth="1"/>
    <col min="6661" max="6661" width="11.140625" style="1181" customWidth="1"/>
    <col min="6662" max="6662" width="10.28515625" style="1181" bestFit="1" customWidth="1"/>
    <col min="6663" max="6663" width="10.140625" style="1181" bestFit="1" customWidth="1"/>
    <col min="6664" max="6664" width="12" style="1181" bestFit="1" customWidth="1"/>
    <col min="6665" max="6665" width="14.28515625" style="1181" bestFit="1" customWidth="1"/>
    <col min="6666" max="6666" width="13.5703125" style="1181" bestFit="1" customWidth="1"/>
    <col min="6667" max="6667" width="13.85546875" style="1181" bestFit="1" customWidth="1"/>
    <col min="6668" max="6910" width="9.140625" style="1181"/>
    <col min="6911" max="6911" width="4.42578125" style="1181" customWidth="1"/>
    <col min="6912" max="6912" width="46.85546875" style="1181" customWidth="1"/>
    <col min="6913" max="6913" width="11.28515625" style="1181" bestFit="1" customWidth="1"/>
    <col min="6914" max="6914" width="11.42578125" style="1181" bestFit="1" customWidth="1"/>
    <col min="6915" max="6915" width="11.85546875" style="1181" customWidth="1"/>
    <col min="6916" max="6916" width="10" style="1181" customWidth="1"/>
    <col min="6917" max="6917" width="11.140625" style="1181" customWidth="1"/>
    <col min="6918" max="6918" width="10.28515625" style="1181" bestFit="1" customWidth="1"/>
    <col min="6919" max="6919" width="10.140625" style="1181" bestFit="1" customWidth="1"/>
    <col min="6920" max="6920" width="12" style="1181" bestFit="1" customWidth="1"/>
    <col min="6921" max="6921" width="14.28515625" style="1181" bestFit="1" customWidth="1"/>
    <col min="6922" max="6922" width="13.5703125" style="1181" bestFit="1" customWidth="1"/>
    <col min="6923" max="6923" width="13.85546875" style="1181" bestFit="1" customWidth="1"/>
    <col min="6924" max="7166" width="9.140625" style="1181"/>
    <col min="7167" max="7167" width="4.42578125" style="1181" customWidth="1"/>
    <col min="7168" max="7168" width="46.85546875" style="1181" customWidth="1"/>
    <col min="7169" max="7169" width="11.28515625" style="1181" bestFit="1" customWidth="1"/>
    <col min="7170" max="7170" width="11.42578125" style="1181" bestFit="1" customWidth="1"/>
    <col min="7171" max="7171" width="11.85546875" style="1181" customWidth="1"/>
    <col min="7172" max="7172" width="10" style="1181" customWidth="1"/>
    <col min="7173" max="7173" width="11.140625" style="1181" customWidth="1"/>
    <col min="7174" max="7174" width="10.28515625" style="1181" bestFit="1" customWidth="1"/>
    <col min="7175" max="7175" width="10.140625" style="1181" bestFit="1" customWidth="1"/>
    <col min="7176" max="7176" width="12" style="1181" bestFit="1" customWidth="1"/>
    <col min="7177" max="7177" width="14.28515625" style="1181" bestFit="1" customWidth="1"/>
    <col min="7178" max="7178" width="13.5703125" style="1181" bestFit="1" customWidth="1"/>
    <col min="7179" max="7179" width="13.85546875" style="1181" bestFit="1" customWidth="1"/>
    <col min="7180" max="7422" width="9.140625" style="1181"/>
    <col min="7423" max="7423" width="4.42578125" style="1181" customWidth="1"/>
    <col min="7424" max="7424" width="46.85546875" style="1181" customWidth="1"/>
    <col min="7425" max="7425" width="11.28515625" style="1181" bestFit="1" customWidth="1"/>
    <col min="7426" max="7426" width="11.42578125" style="1181" bestFit="1" customWidth="1"/>
    <col min="7427" max="7427" width="11.85546875" style="1181" customWidth="1"/>
    <col min="7428" max="7428" width="10" style="1181" customWidth="1"/>
    <col min="7429" max="7429" width="11.140625" style="1181" customWidth="1"/>
    <col min="7430" max="7430" width="10.28515625" style="1181" bestFit="1" customWidth="1"/>
    <col min="7431" max="7431" width="10.140625" style="1181" bestFit="1" customWidth="1"/>
    <col min="7432" max="7432" width="12" style="1181" bestFit="1" customWidth="1"/>
    <col min="7433" max="7433" width="14.28515625" style="1181" bestFit="1" customWidth="1"/>
    <col min="7434" max="7434" width="13.5703125" style="1181" bestFit="1" customWidth="1"/>
    <col min="7435" max="7435" width="13.85546875" style="1181" bestFit="1" customWidth="1"/>
    <col min="7436" max="7678" width="9.140625" style="1181"/>
    <col min="7679" max="7679" width="4.42578125" style="1181" customWidth="1"/>
    <col min="7680" max="7680" width="46.85546875" style="1181" customWidth="1"/>
    <col min="7681" max="7681" width="11.28515625" style="1181" bestFit="1" customWidth="1"/>
    <col min="7682" max="7682" width="11.42578125" style="1181" bestFit="1" customWidth="1"/>
    <col min="7683" max="7683" width="11.85546875" style="1181" customWidth="1"/>
    <col min="7684" max="7684" width="10" style="1181" customWidth="1"/>
    <col min="7685" max="7685" width="11.140625" style="1181" customWidth="1"/>
    <col min="7686" max="7686" width="10.28515625" style="1181" bestFit="1" customWidth="1"/>
    <col min="7687" max="7687" width="10.140625" style="1181" bestFit="1" customWidth="1"/>
    <col min="7688" max="7688" width="12" style="1181" bestFit="1" customWidth="1"/>
    <col min="7689" max="7689" width="14.28515625" style="1181" bestFit="1" customWidth="1"/>
    <col min="7690" max="7690" width="13.5703125" style="1181" bestFit="1" customWidth="1"/>
    <col min="7691" max="7691" width="13.85546875" style="1181" bestFit="1" customWidth="1"/>
    <col min="7692" max="7934" width="9.140625" style="1181"/>
    <col min="7935" max="7935" width="4.42578125" style="1181" customWidth="1"/>
    <col min="7936" max="7936" width="46.85546875" style="1181" customWidth="1"/>
    <col min="7937" max="7937" width="11.28515625" style="1181" bestFit="1" customWidth="1"/>
    <col min="7938" max="7938" width="11.42578125" style="1181" bestFit="1" customWidth="1"/>
    <col min="7939" max="7939" width="11.85546875" style="1181" customWidth="1"/>
    <col min="7940" max="7940" width="10" style="1181" customWidth="1"/>
    <col min="7941" max="7941" width="11.140625" style="1181" customWidth="1"/>
    <col min="7942" max="7942" width="10.28515625" style="1181" bestFit="1" customWidth="1"/>
    <col min="7943" max="7943" width="10.140625" style="1181" bestFit="1" customWidth="1"/>
    <col min="7944" max="7944" width="12" style="1181" bestFit="1" customWidth="1"/>
    <col min="7945" max="7945" width="14.28515625" style="1181" bestFit="1" customWidth="1"/>
    <col min="7946" max="7946" width="13.5703125" style="1181" bestFit="1" customWidth="1"/>
    <col min="7947" max="7947" width="13.85546875" style="1181" bestFit="1" customWidth="1"/>
    <col min="7948" max="8190" width="9.140625" style="1181"/>
    <col min="8191" max="8191" width="4.42578125" style="1181" customWidth="1"/>
    <col min="8192" max="8192" width="46.85546875" style="1181" customWidth="1"/>
    <col min="8193" max="8193" width="11.28515625" style="1181" bestFit="1" customWidth="1"/>
    <col min="8194" max="8194" width="11.42578125" style="1181" bestFit="1" customWidth="1"/>
    <col min="8195" max="8195" width="11.85546875" style="1181" customWidth="1"/>
    <col min="8196" max="8196" width="10" style="1181" customWidth="1"/>
    <col min="8197" max="8197" width="11.140625" style="1181" customWidth="1"/>
    <col min="8198" max="8198" width="10.28515625" style="1181" bestFit="1" customWidth="1"/>
    <col min="8199" max="8199" width="10.140625" style="1181" bestFit="1" customWidth="1"/>
    <col min="8200" max="8200" width="12" style="1181" bestFit="1" customWidth="1"/>
    <col min="8201" max="8201" width="14.28515625" style="1181" bestFit="1" customWidth="1"/>
    <col min="8202" max="8202" width="13.5703125" style="1181" bestFit="1" customWidth="1"/>
    <col min="8203" max="8203" width="13.85546875" style="1181" bestFit="1" customWidth="1"/>
    <col min="8204" max="8446" width="9.140625" style="1181"/>
    <col min="8447" max="8447" width="4.42578125" style="1181" customWidth="1"/>
    <col min="8448" max="8448" width="46.85546875" style="1181" customWidth="1"/>
    <col min="8449" max="8449" width="11.28515625" style="1181" bestFit="1" customWidth="1"/>
    <col min="8450" max="8450" width="11.42578125" style="1181" bestFit="1" customWidth="1"/>
    <col min="8451" max="8451" width="11.85546875" style="1181" customWidth="1"/>
    <col min="8452" max="8452" width="10" style="1181" customWidth="1"/>
    <col min="8453" max="8453" width="11.140625" style="1181" customWidth="1"/>
    <col min="8454" max="8454" width="10.28515625" style="1181" bestFit="1" customWidth="1"/>
    <col min="8455" max="8455" width="10.140625" style="1181" bestFit="1" customWidth="1"/>
    <col min="8456" max="8456" width="12" style="1181" bestFit="1" customWidth="1"/>
    <col min="8457" max="8457" width="14.28515625" style="1181" bestFit="1" customWidth="1"/>
    <col min="8458" max="8458" width="13.5703125" style="1181" bestFit="1" customWidth="1"/>
    <col min="8459" max="8459" width="13.85546875" style="1181" bestFit="1" customWidth="1"/>
    <col min="8460" max="8702" width="9.140625" style="1181"/>
    <col min="8703" max="8703" width="4.42578125" style="1181" customWidth="1"/>
    <col min="8704" max="8704" width="46.85546875" style="1181" customWidth="1"/>
    <col min="8705" max="8705" width="11.28515625" style="1181" bestFit="1" customWidth="1"/>
    <col min="8706" max="8706" width="11.42578125" style="1181" bestFit="1" customWidth="1"/>
    <col min="8707" max="8707" width="11.85546875" style="1181" customWidth="1"/>
    <col min="8708" max="8708" width="10" style="1181" customWidth="1"/>
    <col min="8709" max="8709" width="11.140625" style="1181" customWidth="1"/>
    <col min="8710" max="8710" width="10.28515625" style="1181" bestFit="1" customWidth="1"/>
    <col min="8711" max="8711" width="10.140625" style="1181" bestFit="1" customWidth="1"/>
    <col min="8712" max="8712" width="12" style="1181" bestFit="1" customWidth="1"/>
    <col min="8713" max="8713" width="14.28515625" style="1181" bestFit="1" customWidth="1"/>
    <col min="8714" max="8714" width="13.5703125" style="1181" bestFit="1" customWidth="1"/>
    <col min="8715" max="8715" width="13.85546875" style="1181" bestFit="1" customWidth="1"/>
    <col min="8716" max="8958" width="9.140625" style="1181"/>
    <col min="8959" max="8959" width="4.42578125" style="1181" customWidth="1"/>
    <col min="8960" max="8960" width="46.85546875" style="1181" customWidth="1"/>
    <col min="8961" max="8961" width="11.28515625" style="1181" bestFit="1" customWidth="1"/>
    <col min="8962" max="8962" width="11.42578125" style="1181" bestFit="1" customWidth="1"/>
    <col min="8963" max="8963" width="11.85546875" style="1181" customWidth="1"/>
    <col min="8964" max="8964" width="10" style="1181" customWidth="1"/>
    <col min="8965" max="8965" width="11.140625" style="1181" customWidth="1"/>
    <col min="8966" max="8966" width="10.28515625" style="1181" bestFit="1" customWidth="1"/>
    <col min="8967" max="8967" width="10.140625" style="1181" bestFit="1" customWidth="1"/>
    <col min="8968" max="8968" width="12" style="1181" bestFit="1" customWidth="1"/>
    <col min="8969" max="8969" width="14.28515625" style="1181" bestFit="1" customWidth="1"/>
    <col min="8970" max="8970" width="13.5703125" style="1181" bestFit="1" customWidth="1"/>
    <col min="8971" max="8971" width="13.85546875" style="1181" bestFit="1" customWidth="1"/>
    <col min="8972" max="9214" width="9.140625" style="1181"/>
    <col min="9215" max="9215" width="4.42578125" style="1181" customWidth="1"/>
    <col min="9216" max="9216" width="46.85546875" style="1181" customWidth="1"/>
    <col min="9217" max="9217" width="11.28515625" style="1181" bestFit="1" customWidth="1"/>
    <col min="9218" max="9218" width="11.42578125" style="1181" bestFit="1" customWidth="1"/>
    <col min="9219" max="9219" width="11.85546875" style="1181" customWidth="1"/>
    <col min="9220" max="9220" width="10" style="1181" customWidth="1"/>
    <col min="9221" max="9221" width="11.140625" style="1181" customWidth="1"/>
    <col min="9222" max="9222" width="10.28515625" style="1181" bestFit="1" customWidth="1"/>
    <col min="9223" max="9223" width="10.140625" style="1181" bestFit="1" customWidth="1"/>
    <col min="9224" max="9224" width="12" style="1181" bestFit="1" customWidth="1"/>
    <col min="9225" max="9225" width="14.28515625" style="1181" bestFit="1" customWidth="1"/>
    <col min="9226" max="9226" width="13.5703125" style="1181" bestFit="1" customWidth="1"/>
    <col min="9227" max="9227" width="13.85546875" style="1181" bestFit="1" customWidth="1"/>
    <col min="9228" max="9470" width="9.140625" style="1181"/>
    <col min="9471" max="9471" width="4.42578125" style="1181" customWidth="1"/>
    <col min="9472" max="9472" width="46.85546875" style="1181" customWidth="1"/>
    <col min="9473" max="9473" width="11.28515625" style="1181" bestFit="1" customWidth="1"/>
    <col min="9474" max="9474" width="11.42578125" style="1181" bestFit="1" customWidth="1"/>
    <col min="9475" max="9475" width="11.85546875" style="1181" customWidth="1"/>
    <col min="9476" max="9476" width="10" style="1181" customWidth="1"/>
    <col min="9477" max="9477" width="11.140625" style="1181" customWidth="1"/>
    <col min="9478" max="9478" width="10.28515625" style="1181" bestFit="1" customWidth="1"/>
    <col min="9479" max="9479" width="10.140625" style="1181" bestFit="1" customWidth="1"/>
    <col min="9480" max="9480" width="12" style="1181" bestFit="1" customWidth="1"/>
    <col min="9481" max="9481" width="14.28515625" style="1181" bestFit="1" customWidth="1"/>
    <col min="9482" max="9482" width="13.5703125" style="1181" bestFit="1" customWidth="1"/>
    <col min="9483" max="9483" width="13.85546875" style="1181" bestFit="1" customWidth="1"/>
    <col min="9484" max="9726" width="9.140625" style="1181"/>
    <col min="9727" max="9727" width="4.42578125" style="1181" customWidth="1"/>
    <col min="9728" max="9728" width="46.85546875" style="1181" customWidth="1"/>
    <col min="9729" max="9729" width="11.28515625" style="1181" bestFit="1" customWidth="1"/>
    <col min="9730" max="9730" width="11.42578125" style="1181" bestFit="1" customWidth="1"/>
    <col min="9731" max="9731" width="11.85546875" style="1181" customWidth="1"/>
    <col min="9732" max="9732" width="10" style="1181" customWidth="1"/>
    <col min="9733" max="9733" width="11.140625" style="1181" customWidth="1"/>
    <col min="9734" max="9734" width="10.28515625" style="1181" bestFit="1" customWidth="1"/>
    <col min="9735" max="9735" width="10.140625" style="1181" bestFit="1" customWidth="1"/>
    <col min="9736" max="9736" width="12" style="1181" bestFit="1" customWidth="1"/>
    <col min="9737" max="9737" width="14.28515625" style="1181" bestFit="1" customWidth="1"/>
    <col min="9738" max="9738" width="13.5703125" style="1181" bestFit="1" customWidth="1"/>
    <col min="9739" max="9739" width="13.85546875" style="1181" bestFit="1" customWidth="1"/>
    <col min="9740" max="9982" width="9.140625" style="1181"/>
    <col min="9983" max="9983" width="4.42578125" style="1181" customWidth="1"/>
    <col min="9984" max="9984" width="46.85546875" style="1181" customWidth="1"/>
    <col min="9985" max="9985" width="11.28515625" style="1181" bestFit="1" customWidth="1"/>
    <col min="9986" max="9986" width="11.42578125" style="1181" bestFit="1" customWidth="1"/>
    <col min="9987" max="9987" width="11.85546875" style="1181" customWidth="1"/>
    <col min="9988" max="9988" width="10" style="1181" customWidth="1"/>
    <col min="9989" max="9989" width="11.140625" style="1181" customWidth="1"/>
    <col min="9990" max="9990" width="10.28515625" style="1181" bestFit="1" customWidth="1"/>
    <col min="9991" max="9991" width="10.140625" style="1181" bestFit="1" customWidth="1"/>
    <col min="9992" max="9992" width="12" style="1181" bestFit="1" customWidth="1"/>
    <col min="9993" max="9993" width="14.28515625" style="1181" bestFit="1" customWidth="1"/>
    <col min="9994" max="9994" width="13.5703125" style="1181" bestFit="1" customWidth="1"/>
    <col min="9995" max="9995" width="13.85546875" style="1181" bestFit="1" customWidth="1"/>
    <col min="9996" max="10238" width="9.140625" style="1181"/>
    <col min="10239" max="10239" width="4.42578125" style="1181" customWidth="1"/>
    <col min="10240" max="10240" width="46.85546875" style="1181" customWidth="1"/>
    <col min="10241" max="10241" width="11.28515625" style="1181" bestFit="1" customWidth="1"/>
    <col min="10242" max="10242" width="11.42578125" style="1181" bestFit="1" customWidth="1"/>
    <col min="10243" max="10243" width="11.85546875" style="1181" customWidth="1"/>
    <col min="10244" max="10244" width="10" style="1181" customWidth="1"/>
    <col min="10245" max="10245" width="11.140625" style="1181" customWidth="1"/>
    <col min="10246" max="10246" width="10.28515625" style="1181" bestFit="1" customWidth="1"/>
    <col min="10247" max="10247" width="10.140625" style="1181" bestFit="1" customWidth="1"/>
    <col min="10248" max="10248" width="12" style="1181" bestFit="1" customWidth="1"/>
    <col min="10249" max="10249" width="14.28515625" style="1181" bestFit="1" customWidth="1"/>
    <col min="10250" max="10250" width="13.5703125" style="1181" bestFit="1" customWidth="1"/>
    <col min="10251" max="10251" width="13.85546875" style="1181" bestFit="1" customWidth="1"/>
    <col min="10252" max="10494" width="9.140625" style="1181"/>
    <col min="10495" max="10495" width="4.42578125" style="1181" customWidth="1"/>
    <col min="10496" max="10496" width="46.85546875" style="1181" customWidth="1"/>
    <col min="10497" max="10497" width="11.28515625" style="1181" bestFit="1" customWidth="1"/>
    <col min="10498" max="10498" width="11.42578125" style="1181" bestFit="1" customWidth="1"/>
    <col min="10499" max="10499" width="11.85546875" style="1181" customWidth="1"/>
    <col min="10500" max="10500" width="10" style="1181" customWidth="1"/>
    <col min="10501" max="10501" width="11.140625" style="1181" customWidth="1"/>
    <col min="10502" max="10502" width="10.28515625" style="1181" bestFit="1" customWidth="1"/>
    <col min="10503" max="10503" width="10.140625" style="1181" bestFit="1" customWidth="1"/>
    <col min="10504" max="10504" width="12" style="1181" bestFit="1" customWidth="1"/>
    <col min="10505" max="10505" width="14.28515625" style="1181" bestFit="1" customWidth="1"/>
    <col min="10506" max="10506" width="13.5703125" style="1181" bestFit="1" customWidth="1"/>
    <col min="10507" max="10507" width="13.85546875" style="1181" bestFit="1" customWidth="1"/>
    <col min="10508" max="10750" width="9.140625" style="1181"/>
    <col min="10751" max="10751" width="4.42578125" style="1181" customWidth="1"/>
    <col min="10752" max="10752" width="46.85546875" style="1181" customWidth="1"/>
    <col min="10753" max="10753" width="11.28515625" style="1181" bestFit="1" customWidth="1"/>
    <col min="10754" max="10754" width="11.42578125" style="1181" bestFit="1" customWidth="1"/>
    <col min="10755" max="10755" width="11.85546875" style="1181" customWidth="1"/>
    <col min="10756" max="10756" width="10" style="1181" customWidth="1"/>
    <col min="10757" max="10757" width="11.140625" style="1181" customWidth="1"/>
    <col min="10758" max="10758" width="10.28515625" style="1181" bestFit="1" customWidth="1"/>
    <col min="10759" max="10759" width="10.140625" style="1181" bestFit="1" customWidth="1"/>
    <col min="10760" max="10760" width="12" style="1181" bestFit="1" customWidth="1"/>
    <col min="10761" max="10761" width="14.28515625" style="1181" bestFit="1" customWidth="1"/>
    <col min="10762" max="10762" width="13.5703125" style="1181" bestFit="1" customWidth="1"/>
    <col min="10763" max="10763" width="13.85546875" style="1181" bestFit="1" customWidth="1"/>
    <col min="10764" max="11006" width="9.140625" style="1181"/>
    <col min="11007" max="11007" width="4.42578125" style="1181" customWidth="1"/>
    <col min="11008" max="11008" width="46.85546875" style="1181" customWidth="1"/>
    <col min="11009" max="11009" width="11.28515625" style="1181" bestFit="1" customWidth="1"/>
    <col min="11010" max="11010" width="11.42578125" style="1181" bestFit="1" customWidth="1"/>
    <col min="11011" max="11011" width="11.85546875" style="1181" customWidth="1"/>
    <col min="11012" max="11012" width="10" style="1181" customWidth="1"/>
    <col min="11013" max="11013" width="11.140625" style="1181" customWidth="1"/>
    <col min="11014" max="11014" width="10.28515625" style="1181" bestFit="1" customWidth="1"/>
    <col min="11015" max="11015" width="10.140625" style="1181" bestFit="1" customWidth="1"/>
    <col min="11016" max="11016" width="12" style="1181" bestFit="1" customWidth="1"/>
    <col min="11017" max="11017" width="14.28515625" style="1181" bestFit="1" customWidth="1"/>
    <col min="11018" max="11018" width="13.5703125" style="1181" bestFit="1" customWidth="1"/>
    <col min="11019" max="11019" width="13.85546875" style="1181" bestFit="1" customWidth="1"/>
    <col min="11020" max="11262" width="9.140625" style="1181"/>
    <col min="11263" max="11263" width="4.42578125" style="1181" customWidth="1"/>
    <col min="11264" max="11264" width="46.85546875" style="1181" customWidth="1"/>
    <col min="11265" max="11265" width="11.28515625" style="1181" bestFit="1" customWidth="1"/>
    <col min="11266" max="11266" width="11.42578125" style="1181" bestFit="1" customWidth="1"/>
    <col min="11267" max="11267" width="11.85546875" style="1181" customWidth="1"/>
    <col min="11268" max="11268" width="10" style="1181" customWidth="1"/>
    <col min="11269" max="11269" width="11.140625" style="1181" customWidth="1"/>
    <col min="11270" max="11270" width="10.28515625" style="1181" bestFit="1" customWidth="1"/>
    <col min="11271" max="11271" width="10.140625" style="1181" bestFit="1" customWidth="1"/>
    <col min="11272" max="11272" width="12" style="1181" bestFit="1" customWidth="1"/>
    <col min="11273" max="11273" width="14.28515625" style="1181" bestFit="1" customWidth="1"/>
    <col min="11274" max="11274" width="13.5703125" style="1181" bestFit="1" customWidth="1"/>
    <col min="11275" max="11275" width="13.85546875" style="1181" bestFit="1" customWidth="1"/>
    <col min="11276" max="11518" width="9.140625" style="1181"/>
    <col min="11519" max="11519" width="4.42578125" style="1181" customWidth="1"/>
    <col min="11520" max="11520" width="46.85546875" style="1181" customWidth="1"/>
    <col min="11521" max="11521" width="11.28515625" style="1181" bestFit="1" customWidth="1"/>
    <col min="11522" max="11522" width="11.42578125" style="1181" bestFit="1" customWidth="1"/>
    <col min="11523" max="11523" width="11.85546875" style="1181" customWidth="1"/>
    <col min="11524" max="11524" width="10" style="1181" customWidth="1"/>
    <col min="11525" max="11525" width="11.140625" style="1181" customWidth="1"/>
    <col min="11526" max="11526" width="10.28515625" style="1181" bestFit="1" customWidth="1"/>
    <col min="11527" max="11527" width="10.140625" style="1181" bestFit="1" customWidth="1"/>
    <col min="11528" max="11528" width="12" style="1181" bestFit="1" customWidth="1"/>
    <col min="11529" max="11529" width="14.28515625" style="1181" bestFit="1" customWidth="1"/>
    <col min="11530" max="11530" width="13.5703125" style="1181" bestFit="1" customWidth="1"/>
    <col min="11531" max="11531" width="13.85546875" style="1181" bestFit="1" customWidth="1"/>
    <col min="11532" max="11774" width="9.140625" style="1181"/>
    <col min="11775" max="11775" width="4.42578125" style="1181" customWidth="1"/>
    <col min="11776" max="11776" width="46.85546875" style="1181" customWidth="1"/>
    <col min="11777" max="11777" width="11.28515625" style="1181" bestFit="1" customWidth="1"/>
    <col min="11778" max="11778" width="11.42578125" style="1181" bestFit="1" customWidth="1"/>
    <col min="11779" max="11779" width="11.85546875" style="1181" customWidth="1"/>
    <col min="11780" max="11780" width="10" style="1181" customWidth="1"/>
    <col min="11781" max="11781" width="11.140625" style="1181" customWidth="1"/>
    <col min="11782" max="11782" width="10.28515625" style="1181" bestFit="1" customWidth="1"/>
    <col min="11783" max="11783" width="10.140625" style="1181" bestFit="1" customWidth="1"/>
    <col min="11784" max="11784" width="12" style="1181" bestFit="1" customWidth="1"/>
    <col min="11785" max="11785" width="14.28515625" style="1181" bestFit="1" customWidth="1"/>
    <col min="11786" max="11786" width="13.5703125" style="1181" bestFit="1" customWidth="1"/>
    <col min="11787" max="11787" width="13.85546875" style="1181" bestFit="1" customWidth="1"/>
    <col min="11788" max="12030" width="9.140625" style="1181"/>
    <col min="12031" max="12031" width="4.42578125" style="1181" customWidth="1"/>
    <col min="12032" max="12032" width="46.85546875" style="1181" customWidth="1"/>
    <col min="12033" max="12033" width="11.28515625" style="1181" bestFit="1" customWidth="1"/>
    <col min="12034" max="12034" width="11.42578125" style="1181" bestFit="1" customWidth="1"/>
    <col min="12035" max="12035" width="11.85546875" style="1181" customWidth="1"/>
    <col min="12036" max="12036" width="10" style="1181" customWidth="1"/>
    <col min="12037" max="12037" width="11.140625" style="1181" customWidth="1"/>
    <col min="12038" max="12038" width="10.28515625" style="1181" bestFit="1" customWidth="1"/>
    <col min="12039" max="12039" width="10.140625" style="1181" bestFit="1" customWidth="1"/>
    <col min="12040" max="12040" width="12" style="1181" bestFit="1" customWidth="1"/>
    <col min="12041" max="12041" width="14.28515625" style="1181" bestFit="1" customWidth="1"/>
    <col min="12042" max="12042" width="13.5703125" style="1181" bestFit="1" customWidth="1"/>
    <col min="12043" max="12043" width="13.85546875" style="1181" bestFit="1" customWidth="1"/>
    <col min="12044" max="12286" width="9.140625" style="1181"/>
    <col min="12287" max="12287" width="4.42578125" style="1181" customWidth="1"/>
    <col min="12288" max="12288" width="46.85546875" style="1181" customWidth="1"/>
    <col min="12289" max="12289" width="11.28515625" style="1181" bestFit="1" customWidth="1"/>
    <col min="12290" max="12290" width="11.42578125" style="1181" bestFit="1" customWidth="1"/>
    <col min="12291" max="12291" width="11.85546875" style="1181" customWidth="1"/>
    <col min="12292" max="12292" width="10" style="1181" customWidth="1"/>
    <col min="12293" max="12293" width="11.140625" style="1181" customWidth="1"/>
    <col min="12294" max="12294" width="10.28515625" style="1181" bestFit="1" customWidth="1"/>
    <col min="12295" max="12295" width="10.140625" style="1181" bestFit="1" customWidth="1"/>
    <col min="12296" max="12296" width="12" style="1181" bestFit="1" customWidth="1"/>
    <col min="12297" max="12297" width="14.28515625" style="1181" bestFit="1" customWidth="1"/>
    <col min="12298" max="12298" width="13.5703125" style="1181" bestFit="1" customWidth="1"/>
    <col min="12299" max="12299" width="13.85546875" style="1181" bestFit="1" customWidth="1"/>
    <col min="12300" max="12542" width="9.140625" style="1181"/>
    <col min="12543" max="12543" width="4.42578125" style="1181" customWidth="1"/>
    <col min="12544" max="12544" width="46.85546875" style="1181" customWidth="1"/>
    <col min="12545" max="12545" width="11.28515625" style="1181" bestFit="1" customWidth="1"/>
    <col min="12546" max="12546" width="11.42578125" style="1181" bestFit="1" customWidth="1"/>
    <col min="12547" max="12547" width="11.85546875" style="1181" customWidth="1"/>
    <col min="12548" max="12548" width="10" style="1181" customWidth="1"/>
    <col min="12549" max="12549" width="11.140625" style="1181" customWidth="1"/>
    <col min="12550" max="12550" width="10.28515625" style="1181" bestFit="1" customWidth="1"/>
    <col min="12551" max="12551" width="10.140625" style="1181" bestFit="1" customWidth="1"/>
    <col min="12552" max="12552" width="12" style="1181" bestFit="1" customWidth="1"/>
    <col min="12553" max="12553" width="14.28515625" style="1181" bestFit="1" customWidth="1"/>
    <col min="12554" max="12554" width="13.5703125" style="1181" bestFit="1" customWidth="1"/>
    <col min="12555" max="12555" width="13.85546875" style="1181" bestFit="1" customWidth="1"/>
    <col min="12556" max="12798" width="9.140625" style="1181"/>
    <col min="12799" max="12799" width="4.42578125" style="1181" customWidth="1"/>
    <col min="12800" max="12800" width="46.85546875" style="1181" customWidth="1"/>
    <col min="12801" max="12801" width="11.28515625" style="1181" bestFit="1" customWidth="1"/>
    <col min="12802" max="12802" width="11.42578125" style="1181" bestFit="1" customWidth="1"/>
    <col min="12803" max="12803" width="11.85546875" style="1181" customWidth="1"/>
    <col min="12804" max="12804" width="10" style="1181" customWidth="1"/>
    <col min="12805" max="12805" width="11.140625" style="1181" customWidth="1"/>
    <col min="12806" max="12806" width="10.28515625" style="1181" bestFit="1" customWidth="1"/>
    <col min="12807" max="12807" width="10.140625" style="1181" bestFit="1" customWidth="1"/>
    <col min="12808" max="12808" width="12" style="1181" bestFit="1" customWidth="1"/>
    <col min="12809" max="12809" width="14.28515625" style="1181" bestFit="1" customWidth="1"/>
    <col min="12810" max="12810" width="13.5703125" style="1181" bestFit="1" customWidth="1"/>
    <col min="12811" max="12811" width="13.85546875" style="1181" bestFit="1" customWidth="1"/>
    <col min="12812" max="13054" width="9.140625" style="1181"/>
    <col min="13055" max="13055" width="4.42578125" style="1181" customWidth="1"/>
    <col min="13056" max="13056" width="46.85546875" style="1181" customWidth="1"/>
    <col min="13057" max="13057" width="11.28515625" style="1181" bestFit="1" customWidth="1"/>
    <col min="13058" max="13058" width="11.42578125" style="1181" bestFit="1" customWidth="1"/>
    <col min="13059" max="13059" width="11.85546875" style="1181" customWidth="1"/>
    <col min="13060" max="13060" width="10" style="1181" customWidth="1"/>
    <col min="13061" max="13061" width="11.140625" style="1181" customWidth="1"/>
    <col min="13062" max="13062" width="10.28515625" style="1181" bestFit="1" customWidth="1"/>
    <col min="13063" max="13063" width="10.140625" style="1181" bestFit="1" customWidth="1"/>
    <col min="13064" max="13064" width="12" style="1181" bestFit="1" customWidth="1"/>
    <col min="13065" max="13065" width="14.28515625" style="1181" bestFit="1" customWidth="1"/>
    <col min="13066" max="13066" width="13.5703125" style="1181" bestFit="1" customWidth="1"/>
    <col min="13067" max="13067" width="13.85546875" style="1181" bestFit="1" customWidth="1"/>
    <col min="13068" max="13310" width="9.140625" style="1181"/>
    <col min="13311" max="13311" width="4.42578125" style="1181" customWidth="1"/>
    <col min="13312" max="13312" width="46.85546875" style="1181" customWidth="1"/>
    <col min="13313" max="13313" width="11.28515625" style="1181" bestFit="1" customWidth="1"/>
    <col min="13314" max="13314" width="11.42578125" style="1181" bestFit="1" customWidth="1"/>
    <col min="13315" max="13315" width="11.85546875" style="1181" customWidth="1"/>
    <col min="13316" max="13316" width="10" style="1181" customWidth="1"/>
    <col min="13317" max="13317" width="11.140625" style="1181" customWidth="1"/>
    <col min="13318" max="13318" width="10.28515625" style="1181" bestFit="1" customWidth="1"/>
    <col min="13319" max="13319" width="10.140625" style="1181" bestFit="1" customWidth="1"/>
    <col min="13320" max="13320" width="12" style="1181" bestFit="1" customWidth="1"/>
    <col min="13321" max="13321" width="14.28515625" style="1181" bestFit="1" customWidth="1"/>
    <col min="13322" max="13322" width="13.5703125" style="1181" bestFit="1" customWidth="1"/>
    <col min="13323" max="13323" width="13.85546875" style="1181" bestFit="1" customWidth="1"/>
    <col min="13324" max="13566" width="9.140625" style="1181"/>
    <col min="13567" max="13567" width="4.42578125" style="1181" customWidth="1"/>
    <col min="13568" max="13568" width="46.85546875" style="1181" customWidth="1"/>
    <col min="13569" max="13569" width="11.28515625" style="1181" bestFit="1" customWidth="1"/>
    <col min="13570" max="13570" width="11.42578125" style="1181" bestFit="1" customWidth="1"/>
    <col min="13571" max="13571" width="11.85546875" style="1181" customWidth="1"/>
    <col min="13572" max="13572" width="10" style="1181" customWidth="1"/>
    <col min="13573" max="13573" width="11.140625" style="1181" customWidth="1"/>
    <col min="13574" max="13574" width="10.28515625" style="1181" bestFit="1" customWidth="1"/>
    <col min="13575" max="13575" width="10.140625" style="1181" bestFit="1" customWidth="1"/>
    <col min="13576" max="13576" width="12" style="1181" bestFit="1" customWidth="1"/>
    <col min="13577" max="13577" width="14.28515625" style="1181" bestFit="1" customWidth="1"/>
    <col min="13578" max="13578" width="13.5703125" style="1181" bestFit="1" customWidth="1"/>
    <col min="13579" max="13579" width="13.85546875" style="1181" bestFit="1" customWidth="1"/>
    <col min="13580" max="13822" width="9.140625" style="1181"/>
    <col min="13823" max="13823" width="4.42578125" style="1181" customWidth="1"/>
    <col min="13824" max="13824" width="46.85546875" style="1181" customWidth="1"/>
    <col min="13825" max="13825" width="11.28515625" style="1181" bestFit="1" customWidth="1"/>
    <col min="13826" max="13826" width="11.42578125" style="1181" bestFit="1" customWidth="1"/>
    <col min="13827" max="13827" width="11.85546875" style="1181" customWidth="1"/>
    <col min="13828" max="13828" width="10" style="1181" customWidth="1"/>
    <col min="13829" max="13829" width="11.140625" style="1181" customWidth="1"/>
    <col min="13830" max="13830" width="10.28515625" style="1181" bestFit="1" customWidth="1"/>
    <col min="13831" max="13831" width="10.140625" style="1181" bestFit="1" customWidth="1"/>
    <col min="13832" max="13832" width="12" style="1181" bestFit="1" customWidth="1"/>
    <col min="13833" max="13833" width="14.28515625" style="1181" bestFit="1" customWidth="1"/>
    <col min="13834" max="13834" width="13.5703125" style="1181" bestFit="1" customWidth="1"/>
    <col min="13835" max="13835" width="13.85546875" style="1181" bestFit="1" customWidth="1"/>
    <col min="13836" max="14078" width="9.140625" style="1181"/>
    <col min="14079" max="14079" width="4.42578125" style="1181" customWidth="1"/>
    <col min="14080" max="14080" width="46.85546875" style="1181" customWidth="1"/>
    <col min="14081" max="14081" width="11.28515625" style="1181" bestFit="1" customWidth="1"/>
    <col min="14082" max="14082" width="11.42578125" style="1181" bestFit="1" customWidth="1"/>
    <col min="14083" max="14083" width="11.85546875" style="1181" customWidth="1"/>
    <col min="14084" max="14084" width="10" style="1181" customWidth="1"/>
    <col min="14085" max="14085" width="11.140625" style="1181" customWidth="1"/>
    <col min="14086" max="14086" width="10.28515625" style="1181" bestFit="1" customWidth="1"/>
    <col min="14087" max="14087" width="10.140625" style="1181" bestFit="1" customWidth="1"/>
    <col min="14088" max="14088" width="12" style="1181" bestFit="1" customWidth="1"/>
    <col min="14089" max="14089" width="14.28515625" style="1181" bestFit="1" customWidth="1"/>
    <col min="14090" max="14090" width="13.5703125" style="1181" bestFit="1" customWidth="1"/>
    <col min="14091" max="14091" width="13.85546875" style="1181" bestFit="1" customWidth="1"/>
    <col min="14092" max="14334" width="9.140625" style="1181"/>
    <col min="14335" max="14335" width="4.42578125" style="1181" customWidth="1"/>
    <col min="14336" max="14336" width="46.85546875" style="1181" customWidth="1"/>
    <col min="14337" max="14337" width="11.28515625" style="1181" bestFit="1" customWidth="1"/>
    <col min="14338" max="14338" width="11.42578125" style="1181" bestFit="1" customWidth="1"/>
    <col min="14339" max="14339" width="11.85546875" style="1181" customWidth="1"/>
    <col min="14340" max="14340" width="10" style="1181" customWidth="1"/>
    <col min="14341" max="14341" width="11.140625" style="1181" customWidth="1"/>
    <col min="14342" max="14342" width="10.28515625" style="1181" bestFit="1" customWidth="1"/>
    <col min="14343" max="14343" width="10.140625" style="1181" bestFit="1" customWidth="1"/>
    <col min="14344" max="14344" width="12" style="1181" bestFit="1" customWidth="1"/>
    <col min="14345" max="14345" width="14.28515625" style="1181" bestFit="1" customWidth="1"/>
    <col min="14346" max="14346" width="13.5703125" style="1181" bestFit="1" customWidth="1"/>
    <col min="14347" max="14347" width="13.85546875" style="1181" bestFit="1" customWidth="1"/>
    <col min="14348" max="14590" width="9.140625" style="1181"/>
    <col min="14591" max="14591" width="4.42578125" style="1181" customWidth="1"/>
    <col min="14592" max="14592" width="46.85546875" style="1181" customWidth="1"/>
    <col min="14593" max="14593" width="11.28515625" style="1181" bestFit="1" customWidth="1"/>
    <col min="14594" max="14594" width="11.42578125" style="1181" bestFit="1" customWidth="1"/>
    <col min="14595" max="14595" width="11.85546875" style="1181" customWidth="1"/>
    <col min="14596" max="14596" width="10" style="1181" customWidth="1"/>
    <col min="14597" max="14597" width="11.140625" style="1181" customWidth="1"/>
    <col min="14598" max="14598" width="10.28515625" style="1181" bestFit="1" customWidth="1"/>
    <col min="14599" max="14599" width="10.140625" style="1181" bestFit="1" customWidth="1"/>
    <col min="14600" max="14600" width="12" style="1181" bestFit="1" customWidth="1"/>
    <col min="14601" max="14601" width="14.28515625" style="1181" bestFit="1" customWidth="1"/>
    <col min="14602" max="14602" width="13.5703125" style="1181" bestFit="1" customWidth="1"/>
    <col min="14603" max="14603" width="13.85546875" style="1181" bestFit="1" customWidth="1"/>
    <col min="14604" max="14846" width="9.140625" style="1181"/>
    <col min="14847" max="14847" width="4.42578125" style="1181" customWidth="1"/>
    <col min="14848" max="14848" width="46.85546875" style="1181" customWidth="1"/>
    <col min="14849" max="14849" width="11.28515625" style="1181" bestFit="1" customWidth="1"/>
    <col min="14850" max="14850" width="11.42578125" style="1181" bestFit="1" customWidth="1"/>
    <col min="14851" max="14851" width="11.85546875" style="1181" customWidth="1"/>
    <col min="14852" max="14852" width="10" style="1181" customWidth="1"/>
    <col min="14853" max="14853" width="11.140625" style="1181" customWidth="1"/>
    <col min="14854" max="14854" width="10.28515625" style="1181" bestFit="1" customWidth="1"/>
    <col min="14855" max="14855" width="10.140625" style="1181" bestFit="1" customWidth="1"/>
    <col min="14856" max="14856" width="12" style="1181" bestFit="1" customWidth="1"/>
    <col min="14857" max="14857" width="14.28515625" style="1181" bestFit="1" customWidth="1"/>
    <col min="14858" max="14858" width="13.5703125" style="1181" bestFit="1" customWidth="1"/>
    <col min="14859" max="14859" width="13.85546875" style="1181" bestFit="1" customWidth="1"/>
    <col min="14860" max="15102" width="9.140625" style="1181"/>
    <col min="15103" max="15103" width="4.42578125" style="1181" customWidth="1"/>
    <col min="15104" max="15104" width="46.85546875" style="1181" customWidth="1"/>
    <col min="15105" max="15105" width="11.28515625" style="1181" bestFit="1" customWidth="1"/>
    <col min="15106" max="15106" width="11.42578125" style="1181" bestFit="1" customWidth="1"/>
    <col min="15107" max="15107" width="11.85546875" style="1181" customWidth="1"/>
    <col min="15108" max="15108" width="10" style="1181" customWidth="1"/>
    <col min="15109" max="15109" width="11.140625" style="1181" customWidth="1"/>
    <col min="15110" max="15110" width="10.28515625" style="1181" bestFit="1" customWidth="1"/>
    <col min="15111" max="15111" width="10.140625" style="1181" bestFit="1" customWidth="1"/>
    <col min="15112" max="15112" width="12" style="1181" bestFit="1" customWidth="1"/>
    <col min="15113" max="15113" width="14.28515625" style="1181" bestFit="1" customWidth="1"/>
    <col min="15114" max="15114" width="13.5703125" style="1181" bestFit="1" customWidth="1"/>
    <col min="15115" max="15115" width="13.85546875" style="1181" bestFit="1" customWidth="1"/>
    <col min="15116" max="15358" width="9.140625" style="1181"/>
    <col min="15359" max="15359" width="4.42578125" style="1181" customWidth="1"/>
    <col min="15360" max="15360" width="46.85546875" style="1181" customWidth="1"/>
    <col min="15361" max="15361" width="11.28515625" style="1181" bestFit="1" customWidth="1"/>
    <col min="15362" max="15362" width="11.42578125" style="1181" bestFit="1" customWidth="1"/>
    <col min="15363" max="15363" width="11.85546875" style="1181" customWidth="1"/>
    <col min="15364" max="15364" width="10" style="1181" customWidth="1"/>
    <col min="15365" max="15365" width="11.140625" style="1181" customWidth="1"/>
    <col min="15366" max="15366" width="10.28515625" style="1181" bestFit="1" customWidth="1"/>
    <col min="15367" max="15367" width="10.140625" style="1181" bestFit="1" customWidth="1"/>
    <col min="15368" max="15368" width="12" style="1181" bestFit="1" customWidth="1"/>
    <col min="15369" max="15369" width="14.28515625" style="1181" bestFit="1" customWidth="1"/>
    <col min="15370" max="15370" width="13.5703125" style="1181" bestFit="1" customWidth="1"/>
    <col min="15371" max="15371" width="13.85546875" style="1181" bestFit="1" customWidth="1"/>
    <col min="15372" max="15614" width="9.140625" style="1181"/>
    <col min="15615" max="15615" width="4.42578125" style="1181" customWidth="1"/>
    <col min="15616" max="15616" width="46.85546875" style="1181" customWidth="1"/>
    <col min="15617" max="15617" width="11.28515625" style="1181" bestFit="1" customWidth="1"/>
    <col min="15618" max="15618" width="11.42578125" style="1181" bestFit="1" customWidth="1"/>
    <col min="15619" max="15619" width="11.85546875" style="1181" customWidth="1"/>
    <col min="15620" max="15620" width="10" style="1181" customWidth="1"/>
    <col min="15621" max="15621" width="11.140625" style="1181" customWidth="1"/>
    <col min="15622" max="15622" width="10.28515625" style="1181" bestFit="1" customWidth="1"/>
    <col min="15623" max="15623" width="10.140625" style="1181" bestFit="1" customWidth="1"/>
    <col min="15624" max="15624" width="12" style="1181" bestFit="1" customWidth="1"/>
    <col min="15625" max="15625" width="14.28515625" style="1181" bestFit="1" customWidth="1"/>
    <col min="15626" max="15626" width="13.5703125" style="1181" bestFit="1" customWidth="1"/>
    <col min="15627" max="15627" width="13.85546875" style="1181" bestFit="1" customWidth="1"/>
    <col min="15628" max="15870" width="9.140625" style="1181"/>
    <col min="15871" max="15871" width="4.42578125" style="1181" customWidth="1"/>
    <col min="15872" max="15872" width="46.85546875" style="1181" customWidth="1"/>
    <col min="15873" max="15873" width="11.28515625" style="1181" bestFit="1" customWidth="1"/>
    <col min="15874" max="15874" width="11.42578125" style="1181" bestFit="1" customWidth="1"/>
    <col min="15875" max="15875" width="11.85546875" style="1181" customWidth="1"/>
    <col min="15876" max="15876" width="10" style="1181" customWidth="1"/>
    <col min="15877" max="15877" width="11.140625" style="1181" customWidth="1"/>
    <col min="15878" max="15878" width="10.28515625" style="1181" bestFit="1" customWidth="1"/>
    <col min="15879" max="15879" width="10.140625" style="1181" bestFit="1" customWidth="1"/>
    <col min="15880" max="15880" width="12" style="1181" bestFit="1" customWidth="1"/>
    <col min="15881" max="15881" width="14.28515625" style="1181" bestFit="1" customWidth="1"/>
    <col min="15882" max="15882" width="13.5703125" style="1181" bestFit="1" customWidth="1"/>
    <col min="15883" max="15883" width="13.85546875" style="1181" bestFit="1" customWidth="1"/>
    <col min="15884" max="16126" width="9.140625" style="1181"/>
    <col min="16127" max="16127" width="4.42578125" style="1181" customWidth="1"/>
    <col min="16128" max="16128" width="46.85546875" style="1181" customWidth="1"/>
    <col min="16129" max="16129" width="11.28515625" style="1181" bestFit="1" customWidth="1"/>
    <col min="16130" max="16130" width="11.42578125" style="1181" bestFit="1" customWidth="1"/>
    <col min="16131" max="16131" width="11.85546875" style="1181" customWidth="1"/>
    <col min="16132" max="16132" width="10" style="1181" customWidth="1"/>
    <col min="16133" max="16133" width="11.140625" style="1181" customWidth="1"/>
    <col min="16134" max="16134" width="10.28515625" style="1181" bestFit="1" customWidth="1"/>
    <col min="16135" max="16135" width="10.140625" style="1181" bestFit="1" customWidth="1"/>
    <col min="16136" max="16136" width="12" style="1181" bestFit="1" customWidth="1"/>
    <col min="16137" max="16137" width="14.28515625" style="1181" bestFit="1" customWidth="1"/>
    <col min="16138" max="16138" width="13.5703125" style="1181" bestFit="1" customWidth="1"/>
    <col min="16139" max="16139" width="13.85546875" style="1181" bestFit="1" customWidth="1"/>
    <col min="16140" max="16384" width="9.140625" style="1181"/>
  </cols>
  <sheetData>
    <row r="1" spans="1:11" s="1340" customFormat="1" ht="16.5" customHeight="1">
      <c r="H1" s="1341"/>
      <c r="I1" s="1341"/>
    </row>
    <row r="2" spans="1:11" ht="51" customHeight="1">
      <c r="A2" s="1901" t="s">
        <v>157</v>
      </c>
      <c r="B2" s="1905" t="s">
        <v>84</v>
      </c>
      <c r="C2" s="1901" t="s">
        <v>1121</v>
      </c>
      <c r="D2" s="1903" t="s">
        <v>1122</v>
      </c>
      <c r="E2" s="1894" t="s">
        <v>1123</v>
      </c>
      <c r="F2" s="1894" t="s">
        <v>1124</v>
      </c>
      <c r="G2" s="1894" t="s">
        <v>1125</v>
      </c>
      <c r="H2" s="1895" t="s">
        <v>758</v>
      </c>
      <c r="I2" s="1890" t="s">
        <v>1129</v>
      </c>
      <c r="J2" s="1890" t="s">
        <v>909</v>
      </c>
      <c r="K2" s="1890" t="s">
        <v>1130</v>
      </c>
    </row>
    <row r="3" spans="1:11" ht="130.5" customHeight="1">
      <c r="A3" s="1902"/>
      <c r="B3" s="1901"/>
      <c r="C3" s="1901"/>
      <c r="D3" s="1904"/>
      <c r="E3" s="1894"/>
      <c r="F3" s="1894"/>
      <c r="G3" s="1894"/>
      <c r="H3" s="1896"/>
      <c r="I3" s="1891"/>
      <c r="J3" s="1891"/>
      <c r="K3" s="1891"/>
    </row>
    <row r="4" spans="1:11" ht="16.5" customHeight="1">
      <c r="A4" s="1343"/>
      <c r="B4" s="1344"/>
      <c r="C4" s="1344">
        <v>1</v>
      </c>
      <c r="D4" s="1344">
        <f t="shared" ref="D4:K4" si="0">C4+1</f>
        <v>2</v>
      </c>
      <c r="E4" s="1344">
        <f t="shared" si="0"/>
        <v>3</v>
      </c>
      <c r="F4" s="1344">
        <f t="shared" si="0"/>
        <v>4</v>
      </c>
      <c r="G4" s="1344">
        <f t="shared" si="0"/>
        <v>5</v>
      </c>
      <c r="H4" s="1344">
        <f t="shared" si="0"/>
        <v>6</v>
      </c>
      <c r="I4" s="1344">
        <f>H4+1</f>
        <v>7</v>
      </c>
      <c r="J4" s="1344">
        <f t="shared" si="0"/>
        <v>8</v>
      </c>
      <c r="K4" s="1344">
        <f t="shared" si="0"/>
        <v>9</v>
      </c>
    </row>
    <row r="5" spans="1:11" s="1350" customFormat="1" ht="51" customHeight="1">
      <c r="A5" s="1343"/>
      <c r="B5" s="1344"/>
      <c r="C5" s="1345" t="s">
        <v>1148</v>
      </c>
      <c r="D5" s="1346" t="s">
        <v>1132</v>
      </c>
      <c r="E5" s="1346" t="s">
        <v>1133</v>
      </c>
      <c r="F5" s="1345" t="s">
        <v>1149</v>
      </c>
      <c r="G5" s="1345" t="s">
        <v>1150</v>
      </c>
      <c r="H5" s="1347" t="s">
        <v>1136</v>
      </c>
      <c r="I5" s="1349" t="s">
        <v>1155</v>
      </c>
      <c r="J5" s="1345" t="s">
        <v>1140</v>
      </c>
      <c r="K5" s="1345" t="s">
        <v>1141</v>
      </c>
    </row>
    <row r="6" spans="1:11" ht="16.5" customHeight="1">
      <c r="A6" s="1186">
        <v>1</v>
      </c>
      <c r="B6" s="1186" t="s">
        <v>911</v>
      </c>
      <c r="C6" s="1467">
        <f>'Table 5E_OJJ'!C7</f>
        <v>1.4683200000000001</v>
      </c>
      <c r="D6" s="1351">
        <v>1.4683200000000001</v>
      </c>
      <c r="E6" s="1468">
        <f>D6-C6</f>
        <v>0</v>
      </c>
      <c r="F6" s="1352">
        <f>IF(E6&gt;0,E6,0)</f>
        <v>0</v>
      </c>
      <c r="G6" s="1468">
        <f>IF(E6&lt;0,E6,0)</f>
        <v>0</v>
      </c>
      <c r="H6" s="1353">
        <f>'Table 5E_OJJ'!F7</f>
        <v>8650.7841909924282</v>
      </c>
      <c r="I6" s="1354">
        <f>E6*H6</f>
        <v>0</v>
      </c>
      <c r="J6" s="1353">
        <f>IF(I6&gt;0,I6,0)</f>
        <v>0</v>
      </c>
      <c r="K6" s="1353">
        <f>IF(I6&lt;0,I6,0)</f>
        <v>0</v>
      </c>
    </row>
    <row r="7" spans="1:11" ht="16.5" customHeight="1">
      <c r="A7" s="1186">
        <v>2</v>
      </c>
      <c r="B7" s="1186" t="s">
        <v>912</v>
      </c>
      <c r="C7" s="1467">
        <f>'Table 5E_OJJ'!C8</f>
        <v>0</v>
      </c>
      <c r="D7" s="1351">
        <v>0</v>
      </c>
      <c r="E7" s="1468">
        <f t="shared" ref="E7:E70" si="1">D7-C7</f>
        <v>0</v>
      </c>
      <c r="F7" s="1352">
        <f t="shared" ref="F7:F70" si="2">IF(E7&gt;0,E7,0)</f>
        <v>0</v>
      </c>
      <c r="G7" s="1468">
        <f t="shared" ref="G7:G70" si="3">IF(E7&lt;0,E7,0)</f>
        <v>0</v>
      </c>
      <c r="H7" s="1353">
        <f>'Table 5E_OJJ'!F8</f>
        <v>10542.946123844275</v>
      </c>
      <c r="I7" s="1354">
        <f t="shared" ref="I7:I70" si="4">E7*H7</f>
        <v>0</v>
      </c>
      <c r="J7" s="1353">
        <f t="shared" ref="J7:J70" si="5">IF(I7&gt;0,I7,0)</f>
        <v>0</v>
      </c>
      <c r="K7" s="1353">
        <f t="shared" ref="K7:K70" si="6">IF(I7&lt;0,I7,0)</f>
        <v>0</v>
      </c>
    </row>
    <row r="8" spans="1:11" ht="16.5" customHeight="1">
      <c r="A8" s="1186">
        <v>3</v>
      </c>
      <c r="B8" s="1186" t="s">
        <v>913</v>
      </c>
      <c r="C8" s="1467">
        <f>'Table 5E_OJJ'!C9</f>
        <v>1.056</v>
      </c>
      <c r="D8" s="1355">
        <v>1.056</v>
      </c>
      <c r="E8" s="1468">
        <f t="shared" si="1"/>
        <v>0</v>
      </c>
      <c r="F8" s="1352">
        <f t="shared" si="2"/>
        <v>0</v>
      </c>
      <c r="G8" s="1468">
        <f t="shared" si="3"/>
        <v>0</v>
      </c>
      <c r="H8" s="1353">
        <f>'Table 5E_OJJ'!F9</f>
        <v>7685.5037604285835</v>
      </c>
      <c r="I8" s="1354">
        <f t="shared" si="4"/>
        <v>0</v>
      </c>
      <c r="J8" s="1356">
        <f t="shared" si="5"/>
        <v>0</v>
      </c>
      <c r="K8" s="1356">
        <f t="shared" si="6"/>
        <v>0</v>
      </c>
    </row>
    <row r="9" spans="1:11" ht="16.5" customHeight="1">
      <c r="A9" s="1186">
        <v>4</v>
      </c>
      <c r="B9" s="1186" t="s">
        <v>914</v>
      </c>
      <c r="C9" s="1467">
        <f>'Table 5E_OJJ'!C10</f>
        <v>2.3982039999999998</v>
      </c>
      <c r="D9" s="1355">
        <v>2.3982039999999998</v>
      </c>
      <c r="E9" s="1468">
        <f t="shared" si="1"/>
        <v>0</v>
      </c>
      <c r="F9" s="1352">
        <f t="shared" si="2"/>
        <v>0</v>
      </c>
      <c r="G9" s="1468">
        <f t="shared" si="3"/>
        <v>0</v>
      </c>
      <c r="H9" s="1353">
        <f>'Table 5E_OJJ'!F10</f>
        <v>10194.962098072308</v>
      </c>
      <c r="I9" s="1354">
        <f t="shared" si="4"/>
        <v>0</v>
      </c>
      <c r="J9" s="1356">
        <f t="shared" si="5"/>
        <v>0</v>
      </c>
      <c r="K9" s="1356">
        <f t="shared" si="6"/>
        <v>0</v>
      </c>
    </row>
    <row r="10" spans="1:11" ht="16.5" customHeight="1">
      <c r="A10" s="1192">
        <v>5</v>
      </c>
      <c r="B10" s="1192" t="s">
        <v>915</v>
      </c>
      <c r="C10" s="1469">
        <f>'Table 5E_OJJ'!C11</f>
        <v>6.4742829999999998</v>
      </c>
      <c r="D10" s="1358">
        <v>6.4742829999999998</v>
      </c>
      <c r="E10" s="1470">
        <f t="shared" si="1"/>
        <v>0</v>
      </c>
      <c r="F10" s="1359">
        <f t="shared" si="2"/>
        <v>0</v>
      </c>
      <c r="G10" s="1470">
        <f t="shared" si="3"/>
        <v>0</v>
      </c>
      <c r="H10" s="1360">
        <f>'Table 5E_OJJ'!F11</f>
        <v>8627.0583507080482</v>
      </c>
      <c r="I10" s="1362">
        <f t="shared" si="4"/>
        <v>0</v>
      </c>
      <c r="J10" s="1361">
        <f t="shared" si="5"/>
        <v>0</v>
      </c>
      <c r="K10" s="1361">
        <f t="shared" si="6"/>
        <v>0</v>
      </c>
    </row>
    <row r="11" spans="1:11" ht="16.5" customHeight="1">
      <c r="A11" s="1186">
        <v>6</v>
      </c>
      <c r="B11" s="1186" t="s">
        <v>916</v>
      </c>
      <c r="C11" s="1467">
        <f>'Table 5E_OJJ'!C12</f>
        <v>1.1776009999999999</v>
      </c>
      <c r="D11" s="1351">
        <v>1.1776009999999999</v>
      </c>
      <c r="E11" s="1468">
        <f t="shared" si="1"/>
        <v>0</v>
      </c>
      <c r="F11" s="1352">
        <f t="shared" si="2"/>
        <v>0</v>
      </c>
      <c r="G11" s="1468">
        <f t="shared" si="3"/>
        <v>0</v>
      </c>
      <c r="H11" s="1353">
        <f>'Table 5E_OJJ'!F12</f>
        <v>9607.424119847874</v>
      </c>
      <c r="I11" s="1354">
        <f t="shared" si="4"/>
        <v>0</v>
      </c>
      <c r="J11" s="1353">
        <f t="shared" si="5"/>
        <v>0</v>
      </c>
      <c r="K11" s="1353">
        <f t="shared" si="6"/>
        <v>0</v>
      </c>
    </row>
    <row r="12" spans="1:11" ht="16.5" customHeight="1">
      <c r="A12" s="1186">
        <v>7</v>
      </c>
      <c r="B12" s="1186" t="s">
        <v>917</v>
      </c>
      <c r="C12" s="1467">
        <f>'Table 5E_OJJ'!C13</f>
        <v>0.25905299999999998</v>
      </c>
      <c r="D12" s="1351">
        <v>0.25905299999999998</v>
      </c>
      <c r="E12" s="1468">
        <f t="shared" si="1"/>
        <v>0</v>
      </c>
      <c r="F12" s="1352">
        <f t="shared" si="2"/>
        <v>0</v>
      </c>
      <c r="G12" s="1468">
        <f t="shared" si="3"/>
        <v>0</v>
      </c>
      <c r="H12" s="1353">
        <f>'Table 5E_OJJ'!F13</f>
        <v>4493.9381653164801</v>
      </c>
      <c r="I12" s="1354">
        <f t="shared" si="4"/>
        <v>0</v>
      </c>
      <c r="J12" s="1353">
        <f t="shared" si="5"/>
        <v>0</v>
      </c>
      <c r="K12" s="1353">
        <f t="shared" si="6"/>
        <v>0</v>
      </c>
    </row>
    <row r="13" spans="1:11" ht="16.5" customHeight="1">
      <c r="A13" s="1186">
        <v>8</v>
      </c>
      <c r="B13" s="1186" t="s">
        <v>918</v>
      </c>
      <c r="C13" s="1467">
        <f>'Table 5E_OJJ'!C14</f>
        <v>1.1160000000000001</v>
      </c>
      <c r="D13" s="1355">
        <v>1.1160000000000001</v>
      </c>
      <c r="E13" s="1468">
        <f t="shared" si="1"/>
        <v>0</v>
      </c>
      <c r="F13" s="1352">
        <f t="shared" si="2"/>
        <v>0</v>
      </c>
      <c r="G13" s="1468">
        <f t="shared" si="3"/>
        <v>0</v>
      </c>
      <c r="H13" s="1353">
        <f>'Table 5E_OJJ'!F14</f>
        <v>7693.0265805955141</v>
      </c>
      <c r="I13" s="1354">
        <f t="shared" si="4"/>
        <v>0</v>
      </c>
      <c r="J13" s="1356">
        <f t="shared" si="5"/>
        <v>0</v>
      </c>
      <c r="K13" s="1356">
        <f t="shared" si="6"/>
        <v>0</v>
      </c>
    </row>
    <row r="14" spans="1:11" ht="16.5" customHeight="1">
      <c r="A14" s="1186">
        <v>9</v>
      </c>
      <c r="B14" s="1186" t="s">
        <v>919</v>
      </c>
      <c r="C14" s="1471">
        <f>'Table 5E_OJJ'!C15</f>
        <v>35.732145000000003</v>
      </c>
      <c r="D14" s="1355">
        <v>35.732145000000003</v>
      </c>
      <c r="E14" s="1468">
        <f t="shared" si="1"/>
        <v>0</v>
      </c>
      <c r="F14" s="1352">
        <f t="shared" si="2"/>
        <v>0</v>
      </c>
      <c r="G14" s="1468">
        <f t="shared" si="3"/>
        <v>0</v>
      </c>
      <c r="H14" s="1356">
        <f>'Table 5E_OJJ'!F15</f>
        <v>8222.9655208729455</v>
      </c>
      <c r="I14" s="1354">
        <f t="shared" si="4"/>
        <v>0</v>
      </c>
      <c r="J14" s="1365">
        <f t="shared" si="5"/>
        <v>0</v>
      </c>
      <c r="K14" s="1365">
        <f t="shared" si="6"/>
        <v>0</v>
      </c>
    </row>
    <row r="15" spans="1:11" ht="16.5" customHeight="1">
      <c r="A15" s="1192">
        <v>10</v>
      </c>
      <c r="B15" s="1192" t="s">
        <v>686</v>
      </c>
      <c r="C15" s="1472">
        <f>'Table 5E_OJJ'!C16</f>
        <v>5.0043819999999997</v>
      </c>
      <c r="D15" s="1358">
        <v>5.0043819999999997</v>
      </c>
      <c r="E15" s="1470">
        <f t="shared" si="1"/>
        <v>0</v>
      </c>
      <c r="F15" s="1359">
        <f t="shared" si="2"/>
        <v>0</v>
      </c>
      <c r="G15" s="1470">
        <f t="shared" si="3"/>
        <v>0</v>
      </c>
      <c r="H15" s="1361">
        <f>'Table 5E_OJJ'!F16</f>
        <v>7947.2001863002224</v>
      </c>
      <c r="I15" s="1362">
        <f t="shared" si="4"/>
        <v>0</v>
      </c>
      <c r="J15" s="1366">
        <f t="shared" si="5"/>
        <v>0</v>
      </c>
      <c r="K15" s="1366">
        <f t="shared" si="6"/>
        <v>0</v>
      </c>
    </row>
    <row r="16" spans="1:11" ht="16.5" customHeight="1">
      <c r="A16" s="1186">
        <v>11</v>
      </c>
      <c r="B16" s="1186" t="s">
        <v>920</v>
      </c>
      <c r="C16" s="1471">
        <f>'Table 5E_OJJ'!C17</f>
        <v>0</v>
      </c>
      <c r="D16" s="1351">
        <v>0</v>
      </c>
      <c r="E16" s="1468">
        <f t="shared" si="1"/>
        <v>0</v>
      </c>
      <c r="F16" s="1352">
        <f t="shared" si="2"/>
        <v>0</v>
      </c>
      <c r="G16" s="1468">
        <f t="shared" si="3"/>
        <v>0</v>
      </c>
      <c r="H16" s="1353">
        <f>'Table 5E_OJJ'!F17</f>
        <v>11177.25155402354</v>
      </c>
      <c r="I16" s="1354">
        <f t="shared" si="4"/>
        <v>0</v>
      </c>
      <c r="J16" s="1365">
        <f t="shared" si="5"/>
        <v>0</v>
      </c>
      <c r="K16" s="1365">
        <f t="shared" si="6"/>
        <v>0</v>
      </c>
    </row>
    <row r="17" spans="1:11" ht="16.5" customHeight="1">
      <c r="A17" s="1186">
        <v>12</v>
      </c>
      <c r="B17" s="1186" t="s">
        <v>921</v>
      </c>
      <c r="C17" s="1471">
        <f>'Table 5E_OJJ'!C18</f>
        <v>0</v>
      </c>
      <c r="D17" s="1351">
        <v>0</v>
      </c>
      <c r="E17" s="1468">
        <f t="shared" si="1"/>
        <v>0</v>
      </c>
      <c r="F17" s="1352">
        <f t="shared" si="2"/>
        <v>0</v>
      </c>
      <c r="G17" s="1468">
        <f t="shared" si="3"/>
        <v>0</v>
      </c>
      <c r="H17" s="1353">
        <f>'Table 5E_OJJ'!F18</f>
        <v>5011.2050679602453</v>
      </c>
      <c r="I17" s="1354">
        <f t="shared" si="4"/>
        <v>0</v>
      </c>
      <c r="J17" s="1365">
        <f t="shared" si="5"/>
        <v>0</v>
      </c>
      <c r="K17" s="1365">
        <f t="shared" si="6"/>
        <v>0</v>
      </c>
    </row>
    <row r="18" spans="1:11" ht="16.5" customHeight="1">
      <c r="A18" s="1186">
        <v>13</v>
      </c>
      <c r="B18" s="1186" t="s">
        <v>922</v>
      </c>
      <c r="C18" s="1471">
        <f>'Table 5E_OJJ'!C19</f>
        <v>0</v>
      </c>
      <c r="D18" s="1355">
        <v>0</v>
      </c>
      <c r="E18" s="1468">
        <f t="shared" si="1"/>
        <v>0</v>
      </c>
      <c r="F18" s="1352">
        <f t="shared" si="2"/>
        <v>0</v>
      </c>
      <c r="G18" s="1468">
        <f t="shared" si="3"/>
        <v>0</v>
      </c>
      <c r="H18" s="1356">
        <f>'Table 5E_OJJ'!F19</f>
        <v>10323.655562390166</v>
      </c>
      <c r="I18" s="1354">
        <f t="shared" si="4"/>
        <v>0</v>
      </c>
      <c r="J18" s="1365">
        <f t="shared" si="5"/>
        <v>0</v>
      </c>
      <c r="K18" s="1365">
        <f t="shared" si="6"/>
        <v>0</v>
      </c>
    </row>
    <row r="19" spans="1:11" ht="16.5" customHeight="1">
      <c r="A19" s="1186">
        <v>14</v>
      </c>
      <c r="B19" s="1186" t="s">
        <v>923</v>
      </c>
      <c r="C19" s="1471">
        <f>'Table 5E_OJJ'!C20</f>
        <v>0.22562699999999999</v>
      </c>
      <c r="D19" s="1355">
        <v>0.22562699999999999</v>
      </c>
      <c r="E19" s="1468">
        <f t="shared" si="1"/>
        <v>0</v>
      </c>
      <c r="F19" s="1352">
        <f t="shared" si="2"/>
        <v>0</v>
      </c>
      <c r="G19" s="1468">
        <f t="shared" si="3"/>
        <v>0</v>
      </c>
      <c r="H19" s="1356">
        <f>'Table 5E_OJJ'!F20</f>
        <v>10104.456231780516</v>
      </c>
      <c r="I19" s="1354">
        <f t="shared" si="4"/>
        <v>0</v>
      </c>
      <c r="J19" s="1365">
        <f t="shared" si="5"/>
        <v>0</v>
      </c>
      <c r="K19" s="1365">
        <f t="shared" si="6"/>
        <v>0</v>
      </c>
    </row>
    <row r="20" spans="1:11" ht="16.5" customHeight="1">
      <c r="A20" s="1192">
        <v>15</v>
      </c>
      <c r="B20" s="1192" t="s">
        <v>924</v>
      </c>
      <c r="C20" s="1472">
        <f>'Table 5E_OJJ'!C21</f>
        <v>1.0974930000000001</v>
      </c>
      <c r="D20" s="1358">
        <v>1.0974930000000001</v>
      </c>
      <c r="E20" s="1470">
        <f t="shared" si="1"/>
        <v>0</v>
      </c>
      <c r="F20" s="1359">
        <f t="shared" si="2"/>
        <v>0</v>
      </c>
      <c r="G20" s="1470">
        <f t="shared" si="3"/>
        <v>0</v>
      </c>
      <c r="H20" s="1361">
        <f>'Table 5E_OJJ'!F21</f>
        <v>9305.9624216138636</v>
      </c>
      <c r="I20" s="1362">
        <f t="shared" si="4"/>
        <v>0</v>
      </c>
      <c r="J20" s="1366">
        <f t="shared" si="5"/>
        <v>0</v>
      </c>
      <c r="K20" s="1366">
        <f t="shared" si="6"/>
        <v>0</v>
      </c>
    </row>
    <row r="21" spans="1:11" ht="16.5" customHeight="1">
      <c r="A21" s="1186">
        <v>16</v>
      </c>
      <c r="B21" s="1186" t="s">
        <v>925</v>
      </c>
      <c r="C21" s="1473">
        <f>'Table 5E_OJJ'!C22</f>
        <v>3.0294940000000001</v>
      </c>
      <c r="D21" s="1351">
        <v>3.0294940000000001</v>
      </c>
      <c r="E21" s="1468">
        <f t="shared" si="1"/>
        <v>0</v>
      </c>
      <c r="F21" s="1352">
        <f t="shared" si="2"/>
        <v>0</v>
      </c>
      <c r="G21" s="1468">
        <f t="shared" si="3"/>
        <v>0</v>
      </c>
      <c r="H21" s="1353">
        <f>'Table 5E_OJJ'!F22</f>
        <v>4366.2947122025062</v>
      </c>
      <c r="I21" s="1354">
        <f t="shared" si="4"/>
        <v>0</v>
      </c>
      <c r="J21" s="1365">
        <f t="shared" si="5"/>
        <v>0</v>
      </c>
      <c r="K21" s="1365">
        <f t="shared" si="6"/>
        <v>0</v>
      </c>
    </row>
    <row r="22" spans="1:11" ht="16.5" customHeight="1">
      <c r="A22" s="1186">
        <v>17</v>
      </c>
      <c r="B22" s="1186" t="s">
        <v>639</v>
      </c>
      <c r="C22" s="1471">
        <f>'Table 5E_OJJ'!C23</f>
        <v>39.806348999999997</v>
      </c>
      <c r="D22" s="1355">
        <v>39.806348999999997</v>
      </c>
      <c r="E22" s="1468">
        <f t="shared" si="1"/>
        <v>0</v>
      </c>
      <c r="F22" s="1352">
        <f t="shared" si="2"/>
        <v>0</v>
      </c>
      <c r="G22" s="1468">
        <f t="shared" si="3"/>
        <v>0</v>
      </c>
      <c r="H22" s="1356">
        <f>'Table 5E_OJJ'!F23</f>
        <v>6825.3768688128484</v>
      </c>
      <c r="I22" s="1354">
        <f t="shared" si="4"/>
        <v>0</v>
      </c>
      <c r="J22" s="1365">
        <f t="shared" si="5"/>
        <v>0</v>
      </c>
      <c r="K22" s="1365">
        <f t="shared" si="6"/>
        <v>0</v>
      </c>
    </row>
    <row r="23" spans="1:11" ht="16.5" customHeight="1">
      <c r="A23" s="1186">
        <v>18</v>
      </c>
      <c r="B23" s="1186" t="s">
        <v>926</v>
      </c>
      <c r="C23" s="1471">
        <f>'Table 5E_OJJ'!C24</f>
        <v>3.948747</v>
      </c>
      <c r="D23" s="1355">
        <v>3.948747</v>
      </c>
      <c r="E23" s="1468">
        <f t="shared" si="1"/>
        <v>0</v>
      </c>
      <c r="F23" s="1352">
        <f t="shared" si="2"/>
        <v>0</v>
      </c>
      <c r="G23" s="1468">
        <f t="shared" si="3"/>
        <v>0</v>
      </c>
      <c r="H23" s="1356">
        <f>'Table 5E_OJJ'!F24</f>
        <v>10178.617853472853</v>
      </c>
      <c r="I23" s="1354">
        <f t="shared" si="4"/>
        <v>0</v>
      </c>
      <c r="J23" s="1365">
        <f t="shared" si="5"/>
        <v>0</v>
      </c>
      <c r="K23" s="1365">
        <f t="shared" si="6"/>
        <v>0</v>
      </c>
    </row>
    <row r="24" spans="1:11" ht="16.5" customHeight="1">
      <c r="A24" s="1186">
        <v>19</v>
      </c>
      <c r="B24" s="1186" t="s">
        <v>927</v>
      </c>
      <c r="C24" s="1471">
        <f>'Table 5E_OJJ'!C25</f>
        <v>0.47386200000000001</v>
      </c>
      <c r="D24" s="1355">
        <v>0.47386200000000001</v>
      </c>
      <c r="E24" s="1468">
        <f t="shared" si="1"/>
        <v>0</v>
      </c>
      <c r="F24" s="1352">
        <f t="shared" si="2"/>
        <v>0</v>
      </c>
      <c r="G24" s="1468">
        <f t="shared" si="3"/>
        <v>0</v>
      </c>
      <c r="H24" s="1356">
        <f>'Table 5E_OJJ'!F25</f>
        <v>9512.918939444542</v>
      </c>
      <c r="I24" s="1354">
        <f t="shared" si="4"/>
        <v>0</v>
      </c>
      <c r="J24" s="1365">
        <f t="shared" si="5"/>
        <v>0</v>
      </c>
      <c r="K24" s="1365">
        <f t="shared" si="6"/>
        <v>0</v>
      </c>
    </row>
    <row r="25" spans="1:11" ht="16.5" customHeight="1">
      <c r="A25" s="1192">
        <v>20</v>
      </c>
      <c r="B25" s="1192" t="s">
        <v>928</v>
      </c>
      <c r="C25" s="1472">
        <f>'Table 5E_OJJ'!C26</f>
        <v>6.8221930000000004</v>
      </c>
      <c r="D25" s="1358">
        <v>6.8221930000000004</v>
      </c>
      <c r="E25" s="1470">
        <f t="shared" si="1"/>
        <v>0</v>
      </c>
      <c r="F25" s="1359">
        <f t="shared" si="2"/>
        <v>0</v>
      </c>
      <c r="G25" s="1470">
        <f t="shared" si="3"/>
        <v>0</v>
      </c>
      <c r="H25" s="1361">
        <f>'Table 5E_OJJ'!F26</f>
        <v>9400.7270088219084</v>
      </c>
      <c r="I25" s="1362">
        <f t="shared" si="4"/>
        <v>0</v>
      </c>
      <c r="J25" s="1366">
        <f t="shared" si="5"/>
        <v>0</v>
      </c>
      <c r="K25" s="1366">
        <f t="shared" si="6"/>
        <v>0</v>
      </c>
    </row>
    <row r="26" spans="1:11" ht="16.5" customHeight="1">
      <c r="A26" s="1186">
        <v>21</v>
      </c>
      <c r="B26" s="1186" t="s">
        <v>929</v>
      </c>
      <c r="C26" s="1471">
        <f>'Table 5E_OJJ'!C27</f>
        <v>7.6798890000000002</v>
      </c>
      <c r="D26" s="1351">
        <v>7.6798890000000002</v>
      </c>
      <c r="E26" s="1468">
        <f t="shared" si="1"/>
        <v>0</v>
      </c>
      <c r="F26" s="1352">
        <f t="shared" si="2"/>
        <v>0</v>
      </c>
      <c r="G26" s="1468">
        <f t="shared" si="3"/>
        <v>0</v>
      </c>
      <c r="H26" s="1353">
        <f>'Table 5E_OJJ'!F27</f>
        <v>9670.7048809117114</v>
      </c>
      <c r="I26" s="1354">
        <f t="shared" si="4"/>
        <v>0</v>
      </c>
      <c r="J26" s="1365">
        <f t="shared" si="5"/>
        <v>0</v>
      </c>
      <c r="K26" s="1365">
        <f t="shared" si="6"/>
        <v>0</v>
      </c>
    </row>
    <row r="27" spans="1:11" ht="16.5" customHeight="1">
      <c r="A27" s="1186">
        <v>22</v>
      </c>
      <c r="B27" s="1186" t="s">
        <v>930</v>
      </c>
      <c r="C27" s="1471">
        <f>'Table 5E_OJJ'!C28</f>
        <v>0.27600000000000002</v>
      </c>
      <c r="D27" s="1351">
        <v>0.27600000000000002</v>
      </c>
      <c r="E27" s="1468">
        <f t="shared" si="1"/>
        <v>0</v>
      </c>
      <c r="F27" s="1352">
        <f t="shared" si="2"/>
        <v>0</v>
      </c>
      <c r="G27" s="1468">
        <f t="shared" si="3"/>
        <v>0</v>
      </c>
      <c r="H27" s="1353">
        <f>'Table 5E_OJJ'!F28</f>
        <v>10267.233843925043</v>
      </c>
      <c r="I27" s="1354">
        <f t="shared" si="4"/>
        <v>0</v>
      </c>
      <c r="J27" s="1365">
        <f t="shared" si="5"/>
        <v>0</v>
      </c>
      <c r="K27" s="1365">
        <f t="shared" si="6"/>
        <v>0</v>
      </c>
    </row>
    <row r="28" spans="1:11" ht="16.5" customHeight="1">
      <c r="A28" s="1186">
        <v>23</v>
      </c>
      <c r="B28" s="1186" t="s">
        <v>931</v>
      </c>
      <c r="C28" s="1471">
        <f>'Table 5E_OJJ'!C29</f>
        <v>7.0398649999999998</v>
      </c>
      <c r="D28" s="1355">
        <v>7.0398649999999998</v>
      </c>
      <c r="E28" s="1468">
        <f t="shared" si="1"/>
        <v>0</v>
      </c>
      <c r="F28" s="1352">
        <f t="shared" si="2"/>
        <v>0</v>
      </c>
      <c r="G28" s="1468">
        <f t="shared" si="3"/>
        <v>0</v>
      </c>
      <c r="H28" s="1356">
        <f>'Table 5E_OJJ'!F29</f>
        <v>8734.0101512049387</v>
      </c>
      <c r="I28" s="1354">
        <f t="shared" si="4"/>
        <v>0</v>
      </c>
      <c r="J28" s="1365">
        <f t="shared" si="5"/>
        <v>0</v>
      </c>
      <c r="K28" s="1365">
        <f t="shared" si="6"/>
        <v>0</v>
      </c>
    </row>
    <row r="29" spans="1:11" ht="16.5" customHeight="1">
      <c r="A29" s="1186">
        <v>24</v>
      </c>
      <c r="B29" s="1186" t="s">
        <v>932</v>
      </c>
      <c r="C29" s="1471">
        <f>'Table 5E_OJJ'!C30</f>
        <v>4.9623140000000001</v>
      </c>
      <c r="D29" s="1355">
        <v>4.9623140000000001</v>
      </c>
      <c r="E29" s="1468">
        <f t="shared" si="1"/>
        <v>0</v>
      </c>
      <c r="F29" s="1352">
        <f t="shared" si="2"/>
        <v>0</v>
      </c>
      <c r="G29" s="1468">
        <f t="shared" si="3"/>
        <v>0</v>
      </c>
      <c r="H29" s="1356">
        <f>'Table 5E_OJJ'!F30</f>
        <v>5878.6655230716797</v>
      </c>
      <c r="I29" s="1354">
        <f t="shared" si="4"/>
        <v>0</v>
      </c>
      <c r="J29" s="1365">
        <f t="shared" si="5"/>
        <v>0</v>
      </c>
      <c r="K29" s="1365">
        <f t="shared" si="6"/>
        <v>0</v>
      </c>
    </row>
    <row r="30" spans="1:11" ht="16.5" customHeight="1">
      <c r="A30" s="1192">
        <v>25</v>
      </c>
      <c r="B30" s="1192" t="s">
        <v>933</v>
      </c>
      <c r="C30" s="1472">
        <f>'Table 5E_OJJ'!C31</f>
        <v>0</v>
      </c>
      <c r="D30" s="1358">
        <v>0</v>
      </c>
      <c r="E30" s="1470">
        <f t="shared" si="1"/>
        <v>0</v>
      </c>
      <c r="F30" s="1359">
        <f t="shared" si="2"/>
        <v>0</v>
      </c>
      <c r="G30" s="1470">
        <f t="shared" si="3"/>
        <v>0</v>
      </c>
      <c r="H30" s="1361">
        <f>'Table 5E_OJJ'!F31</f>
        <v>7158.4987047534214</v>
      </c>
      <c r="I30" s="1362">
        <f t="shared" si="4"/>
        <v>0</v>
      </c>
      <c r="J30" s="1366">
        <f t="shared" si="5"/>
        <v>0</v>
      </c>
      <c r="K30" s="1366">
        <f t="shared" si="6"/>
        <v>0</v>
      </c>
    </row>
    <row r="31" spans="1:11" ht="16.5" customHeight="1">
      <c r="A31" s="1186">
        <v>26</v>
      </c>
      <c r="B31" s="1186" t="s">
        <v>663</v>
      </c>
      <c r="C31" s="1471">
        <f>'Table 5E_OJJ'!C32</f>
        <v>36.898733999999997</v>
      </c>
      <c r="D31" s="1351">
        <v>36.898733999999997</v>
      </c>
      <c r="E31" s="1468">
        <f t="shared" si="1"/>
        <v>0</v>
      </c>
      <c r="F31" s="1352">
        <f t="shared" si="2"/>
        <v>0</v>
      </c>
      <c r="G31" s="1468">
        <f t="shared" si="3"/>
        <v>0</v>
      </c>
      <c r="H31" s="1353">
        <f>'Table 5E_OJJ'!F32</f>
        <v>6719.0053005941299</v>
      </c>
      <c r="I31" s="1354">
        <f t="shared" si="4"/>
        <v>0</v>
      </c>
      <c r="J31" s="1365">
        <f t="shared" si="5"/>
        <v>0</v>
      </c>
      <c r="K31" s="1365">
        <f t="shared" si="6"/>
        <v>0</v>
      </c>
    </row>
    <row r="32" spans="1:11" ht="16.5" customHeight="1">
      <c r="A32" s="1186">
        <v>27</v>
      </c>
      <c r="B32" s="1186" t="s">
        <v>934</v>
      </c>
      <c r="C32" s="1471">
        <f>'Table 5E_OJJ'!C33</f>
        <v>0.32</v>
      </c>
      <c r="D32" s="1351">
        <v>0.32</v>
      </c>
      <c r="E32" s="1468">
        <f t="shared" si="1"/>
        <v>0</v>
      </c>
      <c r="F32" s="1352">
        <f t="shared" si="2"/>
        <v>0</v>
      </c>
      <c r="G32" s="1468">
        <f t="shared" si="3"/>
        <v>0</v>
      </c>
      <c r="H32" s="1353">
        <f>'Table 5E_OJJ'!F33</f>
        <v>9905.8186918570482</v>
      </c>
      <c r="I32" s="1354">
        <f t="shared" si="4"/>
        <v>0</v>
      </c>
      <c r="J32" s="1365">
        <f t="shared" si="5"/>
        <v>0</v>
      </c>
      <c r="K32" s="1365">
        <f t="shared" si="6"/>
        <v>0</v>
      </c>
    </row>
    <row r="33" spans="1:11" ht="16.5" customHeight="1">
      <c r="A33" s="1186">
        <v>28</v>
      </c>
      <c r="B33" s="1186" t="s">
        <v>935</v>
      </c>
      <c r="C33" s="1471">
        <f>'Table 5E_OJJ'!C34</f>
        <v>6.9549709999999996</v>
      </c>
      <c r="D33" s="1355">
        <v>6.9549709999999996</v>
      </c>
      <c r="E33" s="1468">
        <f t="shared" si="1"/>
        <v>0</v>
      </c>
      <c r="F33" s="1352">
        <f t="shared" si="2"/>
        <v>0</v>
      </c>
      <c r="G33" s="1468">
        <f t="shared" si="3"/>
        <v>0</v>
      </c>
      <c r="H33" s="1356">
        <f>'Table 5E_OJJ'!F34</f>
        <v>6817.1649346607355</v>
      </c>
      <c r="I33" s="1354">
        <f t="shared" si="4"/>
        <v>0</v>
      </c>
      <c r="J33" s="1365">
        <f t="shared" si="5"/>
        <v>0</v>
      </c>
      <c r="K33" s="1365">
        <f t="shared" si="6"/>
        <v>0</v>
      </c>
    </row>
    <row r="34" spans="1:11" ht="16.5" customHeight="1">
      <c r="A34" s="1186">
        <v>29</v>
      </c>
      <c r="B34" s="1186" t="s">
        <v>936</v>
      </c>
      <c r="C34" s="1471">
        <f>'Table 5E_OJJ'!C35</f>
        <v>16.490998000000001</v>
      </c>
      <c r="D34" s="1355">
        <v>16.490998000000001</v>
      </c>
      <c r="E34" s="1468">
        <f t="shared" si="1"/>
        <v>0</v>
      </c>
      <c r="F34" s="1352">
        <f t="shared" si="2"/>
        <v>0</v>
      </c>
      <c r="G34" s="1468">
        <f t="shared" si="3"/>
        <v>0</v>
      </c>
      <c r="H34" s="1356">
        <f>'Table 5E_OJJ'!F35</f>
        <v>7992.7231120253082</v>
      </c>
      <c r="I34" s="1354">
        <f t="shared" si="4"/>
        <v>0</v>
      </c>
      <c r="J34" s="1365">
        <f t="shared" si="5"/>
        <v>0</v>
      </c>
      <c r="K34" s="1365">
        <f t="shared" si="6"/>
        <v>0</v>
      </c>
    </row>
    <row r="35" spans="1:11" ht="16.5" customHeight="1">
      <c r="A35" s="1192">
        <v>30</v>
      </c>
      <c r="B35" s="1192" t="s">
        <v>937</v>
      </c>
      <c r="C35" s="1472">
        <f>'Table 5E_OJJ'!C36</f>
        <v>0</v>
      </c>
      <c r="D35" s="1358">
        <v>0</v>
      </c>
      <c r="E35" s="1470">
        <f t="shared" si="1"/>
        <v>0</v>
      </c>
      <c r="F35" s="1359">
        <f t="shared" si="2"/>
        <v>0</v>
      </c>
      <c r="G35" s="1470">
        <f t="shared" si="3"/>
        <v>0</v>
      </c>
      <c r="H35" s="1361">
        <f>'Table 5E_OJJ'!F36</f>
        <v>10038.289444186472</v>
      </c>
      <c r="I35" s="1362">
        <f t="shared" si="4"/>
        <v>0</v>
      </c>
      <c r="J35" s="1366">
        <f t="shared" si="5"/>
        <v>0</v>
      </c>
      <c r="K35" s="1366">
        <f t="shared" si="6"/>
        <v>0</v>
      </c>
    </row>
    <row r="36" spans="1:11" ht="16.5" customHeight="1">
      <c r="A36" s="1186">
        <v>31</v>
      </c>
      <c r="B36" s="1186" t="s">
        <v>654</v>
      </c>
      <c r="C36" s="1471">
        <f>'Table 5E_OJJ'!C37</f>
        <v>2.799042</v>
      </c>
      <c r="D36" s="1351">
        <v>2.799042</v>
      </c>
      <c r="E36" s="1468">
        <f t="shared" si="1"/>
        <v>0</v>
      </c>
      <c r="F36" s="1352">
        <f t="shared" si="2"/>
        <v>0</v>
      </c>
      <c r="G36" s="1468">
        <f t="shared" si="3"/>
        <v>0</v>
      </c>
      <c r="H36" s="1353">
        <f>'Table 5E_OJJ'!F37</f>
        <v>7859.6996366859576</v>
      </c>
      <c r="I36" s="1354">
        <f t="shared" si="4"/>
        <v>0</v>
      </c>
      <c r="J36" s="1365">
        <f t="shared" si="5"/>
        <v>0</v>
      </c>
      <c r="K36" s="1365">
        <f t="shared" si="6"/>
        <v>0</v>
      </c>
    </row>
    <row r="37" spans="1:11" ht="16.5" customHeight="1">
      <c r="A37" s="1186">
        <v>32</v>
      </c>
      <c r="B37" s="1186" t="s">
        <v>640</v>
      </c>
      <c r="C37" s="1471">
        <f>'Table 5E_OJJ'!C38</f>
        <v>1.4741550000000001</v>
      </c>
      <c r="D37" s="1351">
        <v>1.4741550000000001</v>
      </c>
      <c r="E37" s="1468">
        <f t="shared" si="1"/>
        <v>0</v>
      </c>
      <c r="F37" s="1352">
        <f t="shared" si="2"/>
        <v>0</v>
      </c>
      <c r="G37" s="1468">
        <f t="shared" si="3"/>
        <v>0</v>
      </c>
      <c r="H37" s="1353">
        <f>'Table 5E_OJJ'!F38</f>
        <v>9342.176513294733</v>
      </c>
      <c r="I37" s="1354">
        <f t="shared" si="4"/>
        <v>0</v>
      </c>
      <c r="J37" s="1365">
        <f t="shared" si="5"/>
        <v>0</v>
      </c>
      <c r="K37" s="1365">
        <f t="shared" si="6"/>
        <v>0</v>
      </c>
    </row>
    <row r="38" spans="1:11" ht="16.5" customHeight="1">
      <c r="A38" s="1186">
        <v>33</v>
      </c>
      <c r="B38" s="1186" t="s">
        <v>938</v>
      </c>
      <c r="C38" s="1471">
        <f>'Table 5E_OJJ'!C39</f>
        <v>3.483276</v>
      </c>
      <c r="D38" s="1355">
        <v>3.483276</v>
      </c>
      <c r="E38" s="1468">
        <f t="shared" si="1"/>
        <v>0</v>
      </c>
      <c r="F38" s="1352">
        <f t="shared" si="2"/>
        <v>0</v>
      </c>
      <c r="G38" s="1468">
        <f t="shared" si="3"/>
        <v>0</v>
      </c>
      <c r="H38" s="1356">
        <f>'Table 5E_OJJ'!F39</f>
        <v>9866.6281309476799</v>
      </c>
      <c r="I38" s="1354">
        <f t="shared" si="4"/>
        <v>0</v>
      </c>
      <c r="J38" s="1365">
        <f t="shared" si="5"/>
        <v>0</v>
      </c>
      <c r="K38" s="1365">
        <f t="shared" si="6"/>
        <v>0</v>
      </c>
    </row>
    <row r="39" spans="1:11" ht="16.5" customHeight="1">
      <c r="A39" s="1186">
        <v>34</v>
      </c>
      <c r="B39" s="1186" t="s">
        <v>939</v>
      </c>
      <c r="C39" s="1471">
        <f>'Table 5E_OJJ'!C40</f>
        <v>0</v>
      </c>
      <c r="D39" s="1355">
        <v>0</v>
      </c>
      <c r="E39" s="1468">
        <f t="shared" si="1"/>
        <v>0</v>
      </c>
      <c r="F39" s="1352">
        <f t="shared" si="2"/>
        <v>0</v>
      </c>
      <c r="G39" s="1468">
        <f t="shared" si="3"/>
        <v>0</v>
      </c>
      <c r="H39" s="1356">
        <f>'Table 5E_OJJ'!F40</f>
        <v>9906.9192473044968</v>
      </c>
      <c r="I39" s="1354">
        <f t="shared" si="4"/>
        <v>0</v>
      </c>
      <c r="J39" s="1365">
        <f t="shared" si="5"/>
        <v>0</v>
      </c>
      <c r="K39" s="1365">
        <f t="shared" si="6"/>
        <v>0</v>
      </c>
    </row>
    <row r="40" spans="1:11" ht="16.5" customHeight="1">
      <c r="A40" s="1192">
        <v>35</v>
      </c>
      <c r="B40" s="1192" t="s">
        <v>940</v>
      </c>
      <c r="C40" s="1472">
        <f>'Table 5E_OJJ'!C41</f>
        <v>2.7474989999999999</v>
      </c>
      <c r="D40" s="1358">
        <v>2.7474989999999999</v>
      </c>
      <c r="E40" s="1470">
        <f t="shared" si="1"/>
        <v>0</v>
      </c>
      <c r="F40" s="1359">
        <f t="shared" si="2"/>
        <v>0</v>
      </c>
      <c r="G40" s="1470">
        <f t="shared" si="3"/>
        <v>0</v>
      </c>
      <c r="H40" s="1361">
        <f>'Table 5E_OJJ'!F41</f>
        <v>8713.8119285930243</v>
      </c>
      <c r="I40" s="1362">
        <f t="shared" si="4"/>
        <v>0</v>
      </c>
      <c r="J40" s="1366">
        <f t="shared" si="5"/>
        <v>0</v>
      </c>
      <c r="K40" s="1366">
        <f t="shared" si="6"/>
        <v>0</v>
      </c>
    </row>
    <row r="41" spans="1:11" ht="16.5" customHeight="1">
      <c r="A41" s="1186">
        <v>36</v>
      </c>
      <c r="B41" s="1186" t="s">
        <v>662</v>
      </c>
      <c r="C41" s="1471">
        <f>'Table 5E_OJJ'!C42</f>
        <v>35.017254999999999</v>
      </c>
      <c r="D41" s="1355">
        <v>35.017254999999999</v>
      </c>
      <c r="E41" s="1468">
        <f t="shared" si="1"/>
        <v>0</v>
      </c>
      <c r="F41" s="1352">
        <f t="shared" si="2"/>
        <v>0</v>
      </c>
      <c r="G41" s="1468">
        <f t="shared" si="3"/>
        <v>0</v>
      </c>
      <c r="H41" s="1356">
        <f>'Table 5E_OJJ'!F42</f>
        <v>6722.0407972022349</v>
      </c>
      <c r="I41" s="1354">
        <f t="shared" si="4"/>
        <v>0</v>
      </c>
      <c r="J41" s="1365">
        <f t="shared" si="5"/>
        <v>0</v>
      </c>
      <c r="K41" s="1365">
        <f t="shared" si="6"/>
        <v>0</v>
      </c>
    </row>
    <row r="42" spans="1:11" ht="16.5" customHeight="1">
      <c r="A42" s="1186">
        <v>37</v>
      </c>
      <c r="B42" s="1186" t="s">
        <v>653</v>
      </c>
      <c r="C42" s="1467">
        <f>'Table 5E_OJJ'!C43</f>
        <v>2.651176</v>
      </c>
      <c r="D42" s="1351">
        <v>2.651176</v>
      </c>
      <c r="E42" s="1468">
        <f t="shared" si="1"/>
        <v>0</v>
      </c>
      <c r="F42" s="1352">
        <f t="shared" si="2"/>
        <v>0</v>
      </c>
      <c r="G42" s="1468">
        <f t="shared" si="3"/>
        <v>0</v>
      </c>
      <c r="H42" s="1353">
        <f>'Table 5E_OJJ'!F43</f>
        <v>9534.1211792822196</v>
      </c>
      <c r="I42" s="1354">
        <f t="shared" si="4"/>
        <v>0</v>
      </c>
      <c r="J42" s="1365">
        <f t="shared" si="5"/>
        <v>0</v>
      </c>
      <c r="K42" s="1365">
        <f t="shared" si="6"/>
        <v>0</v>
      </c>
    </row>
    <row r="43" spans="1:11" ht="16.5" customHeight="1">
      <c r="A43" s="1186">
        <v>38</v>
      </c>
      <c r="B43" s="1186" t="s">
        <v>673</v>
      </c>
      <c r="C43" s="1467">
        <f>'Table 5E_OJJ'!C44</f>
        <v>0</v>
      </c>
      <c r="D43" s="1355">
        <v>0</v>
      </c>
      <c r="E43" s="1468">
        <f t="shared" si="1"/>
        <v>0</v>
      </c>
      <c r="F43" s="1352">
        <f t="shared" si="2"/>
        <v>0</v>
      </c>
      <c r="G43" s="1468">
        <f t="shared" si="3"/>
        <v>0</v>
      </c>
      <c r="H43" s="1353">
        <f>'Table 5E_OJJ'!F44</f>
        <v>5717.6324377661495</v>
      </c>
      <c r="I43" s="1354">
        <f t="shared" si="4"/>
        <v>0</v>
      </c>
      <c r="J43" s="1365">
        <f t="shared" si="5"/>
        <v>0</v>
      </c>
      <c r="K43" s="1365">
        <f t="shared" si="6"/>
        <v>0</v>
      </c>
    </row>
    <row r="44" spans="1:11" ht="16.5" customHeight="1">
      <c r="A44" s="1186">
        <v>39</v>
      </c>
      <c r="B44" s="1186" t="s">
        <v>941</v>
      </c>
      <c r="C44" s="1471">
        <f>'Table 5E_OJJ'!C45</f>
        <v>0.91922000000000004</v>
      </c>
      <c r="D44" s="1355">
        <v>0.91922000000000004</v>
      </c>
      <c r="E44" s="1468">
        <f t="shared" si="1"/>
        <v>0</v>
      </c>
      <c r="F44" s="1352">
        <f t="shared" si="2"/>
        <v>0</v>
      </c>
      <c r="G44" s="1468">
        <f t="shared" si="3"/>
        <v>0</v>
      </c>
      <c r="H44" s="1356">
        <f>'Table 5E_OJJ'!F45</f>
        <v>7273.6919602140752</v>
      </c>
      <c r="I44" s="1354">
        <f t="shared" si="4"/>
        <v>0</v>
      </c>
      <c r="J44" s="1365">
        <f t="shared" si="5"/>
        <v>0</v>
      </c>
      <c r="K44" s="1365">
        <f t="shared" si="6"/>
        <v>0</v>
      </c>
    </row>
    <row r="45" spans="1:11" ht="16.5" customHeight="1">
      <c r="A45" s="1192">
        <v>40</v>
      </c>
      <c r="B45" s="1192" t="s">
        <v>942</v>
      </c>
      <c r="C45" s="1472">
        <f>'Table 5E_OJJ'!C46</f>
        <v>4.936909</v>
      </c>
      <c r="D45" s="1358">
        <v>4.936909</v>
      </c>
      <c r="E45" s="1470">
        <f t="shared" si="1"/>
        <v>0</v>
      </c>
      <c r="F45" s="1359">
        <f t="shared" si="2"/>
        <v>0</v>
      </c>
      <c r="G45" s="1470">
        <f t="shared" si="3"/>
        <v>0</v>
      </c>
      <c r="H45" s="1361">
        <f>'Table 5E_OJJ'!F46</f>
        <v>8709.1945976987045</v>
      </c>
      <c r="I45" s="1362">
        <f t="shared" si="4"/>
        <v>0</v>
      </c>
      <c r="J45" s="1366">
        <f t="shared" si="5"/>
        <v>0</v>
      </c>
      <c r="K45" s="1366">
        <f t="shared" si="6"/>
        <v>0</v>
      </c>
    </row>
    <row r="46" spans="1:11" ht="16.5" customHeight="1">
      <c r="A46" s="1186">
        <v>41</v>
      </c>
      <c r="B46" s="1186" t="s">
        <v>943</v>
      </c>
      <c r="C46" s="1471">
        <f>'Table 5E_OJJ'!C47</f>
        <v>1.158774</v>
      </c>
      <c r="D46" s="1351">
        <v>1.158774</v>
      </c>
      <c r="E46" s="1468">
        <f t="shared" si="1"/>
        <v>0</v>
      </c>
      <c r="F46" s="1352">
        <f t="shared" si="2"/>
        <v>0</v>
      </c>
      <c r="G46" s="1468">
        <f t="shared" si="3"/>
        <v>0</v>
      </c>
      <c r="H46" s="1353">
        <f>'Table 5E_OJJ'!F47</f>
        <v>5595.9146920536705</v>
      </c>
      <c r="I46" s="1354">
        <f t="shared" si="4"/>
        <v>0</v>
      </c>
      <c r="J46" s="1365">
        <f t="shared" si="5"/>
        <v>0</v>
      </c>
      <c r="K46" s="1365">
        <f t="shared" si="6"/>
        <v>0</v>
      </c>
    </row>
    <row r="47" spans="1:11" ht="16.5" customHeight="1">
      <c r="A47" s="1186">
        <v>42</v>
      </c>
      <c r="B47" s="1186" t="s">
        <v>944</v>
      </c>
      <c r="C47" s="1471">
        <f>'Table 5E_OJJ'!C48</f>
        <v>5.8471970000000004</v>
      </c>
      <c r="D47" s="1351">
        <v>5.8471970000000004</v>
      </c>
      <c r="E47" s="1468">
        <f t="shared" si="1"/>
        <v>0</v>
      </c>
      <c r="F47" s="1352">
        <f t="shared" si="2"/>
        <v>0</v>
      </c>
      <c r="G47" s="1468">
        <f t="shared" si="3"/>
        <v>0</v>
      </c>
      <c r="H47" s="1353">
        <f>'Table 5E_OJJ'!F48</f>
        <v>9415.2070898093334</v>
      </c>
      <c r="I47" s="1354">
        <f t="shared" si="4"/>
        <v>0</v>
      </c>
      <c r="J47" s="1365">
        <f t="shared" si="5"/>
        <v>0</v>
      </c>
      <c r="K47" s="1365">
        <f t="shared" si="6"/>
        <v>0</v>
      </c>
    </row>
    <row r="48" spans="1:11" ht="16.5" customHeight="1">
      <c r="A48" s="1186">
        <v>43</v>
      </c>
      <c r="B48" s="1186" t="s">
        <v>945</v>
      </c>
      <c r="C48" s="1471">
        <f>'Table 5E_OJJ'!C49</f>
        <v>3.0531359999999999</v>
      </c>
      <c r="D48" s="1355">
        <v>3.0531359999999999</v>
      </c>
      <c r="E48" s="1468">
        <f t="shared" si="1"/>
        <v>0</v>
      </c>
      <c r="F48" s="1352">
        <f t="shared" si="2"/>
        <v>0</v>
      </c>
      <c r="G48" s="1468">
        <f t="shared" si="3"/>
        <v>0</v>
      </c>
      <c r="H48" s="1356">
        <f>'Table 5E_OJJ'!F49</f>
        <v>10075.80368282036</v>
      </c>
      <c r="I48" s="1354">
        <f t="shared" si="4"/>
        <v>0</v>
      </c>
      <c r="J48" s="1365">
        <f t="shared" si="5"/>
        <v>0</v>
      </c>
      <c r="K48" s="1365">
        <f t="shared" si="6"/>
        <v>0</v>
      </c>
    </row>
    <row r="49" spans="1:11" ht="16.5" customHeight="1">
      <c r="A49" s="1186">
        <v>44</v>
      </c>
      <c r="B49" s="1186" t="s">
        <v>664</v>
      </c>
      <c r="C49" s="1471">
        <f>'Table 5E_OJJ'!C50</f>
        <v>1.3972599999999999</v>
      </c>
      <c r="D49" s="1355">
        <v>1.3972599999999999</v>
      </c>
      <c r="E49" s="1468">
        <f t="shared" si="1"/>
        <v>0</v>
      </c>
      <c r="F49" s="1352">
        <f t="shared" si="2"/>
        <v>0</v>
      </c>
      <c r="G49" s="1468">
        <f t="shared" si="3"/>
        <v>0</v>
      </c>
      <c r="H49" s="1356">
        <f>'Table 5E_OJJ'!F50</f>
        <v>8079.1270358618203</v>
      </c>
      <c r="I49" s="1354">
        <f t="shared" si="4"/>
        <v>0</v>
      </c>
      <c r="J49" s="1365">
        <f t="shared" si="5"/>
        <v>0</v>
      </c>
      <c r="K49" s="1365">
        <f t="shared" si="6"/>
        <v>0</v>
      </c>
    </row>
    <row r="50" spans="1:11" ht="16.5" customHeight="1">
      <c r="A50" s="1192">
        <v>45</v>
      </c>
      <c r="B50" s="1192" t="s">
        <v>665</v>
      </c>
      <c r="C50" s="1472">
        <f>'Table 5E_OJJ'!C51</f>
        <v>1.9552989999999999</v>
      </c>
      <c r="D50" s="1358">
        <v>1.9552989999999999</v>
      </c>
      <c r="E50" s="1470">
        <f t="shared" si="1"/>
        <v>0</v>
      </c>
      <c r="F50" s="1359">
        <f t="shared" si="2"/>
        <v>0</v>
      </c>
      <c r="G50" s="1470">
        <f t="shared" si="3"/>
        <v>0</v>
      </c>
      <c r="H50" s="1361">
        <f>'Table 5E_OJJ'!F51</f>
        <v>5662.2929670489711</v>
      </c>
      <c r="I50" s="1362">
        <f t="shared" si="4"/>
        <v>0</v>
      </c>
      <c r="J50" s="1366">
        <f t="shared" si="5"/>
        <v>0</v>
      </c>
      <c r="K50" s="1366">
        <f t="shared" si="6"/>
        <v>0</v>
      </c>
    </row>
    <row r="51" spans="1:11" ht="16.5" customHeight="1">
      <c r="A51" s="1186">
        <v>46</v>
      </c>
      <c r="B51" s="1186" t="s">
        <v>946</v>
      </c>
      <c r="C51" s="1471">
        <f>'Table 5E_OJJ'!C52</f>
        <v>0</v>
      </c>
      <c r="D51" s="1351">
        <v>0</v>
      </c>
      <c r="E51" s="1468">
        <f t="shared" si="1"/>
        <v>0</v>
      </c>
      <c r="F51" s="1352">
        <f t="shared" si="2"/>
        <v>0</v>
      </c>
      <c r="G51" s="1468">
        <f t="shared" si="3"/>
        <v>0</v>
      </c>
      <c r="H51" s="1356">
        <f>'Table 5E_OJJ'!F52</f>
        <v>10066.561207259667</v>
      </c>
      <c r="I51" s="1354">
        <f t="shared" si="4"/>
        <v>0</v>
      </c>
      <c r="J51" s="1365">
        <f t="shared" si="5"/>
        <v>0</v>
      </c>
      <c r="K51" s="1365">
        <f t="shared" si="6"/>
        <v>0</v>
      </c>
    </row>
    <row r="52" spans="1:11" ht="16.5" customHeight="1">
      <c r="A52" s="1186">
        <v>47</v>
      </c>
      <c r="B52" s="1186" t="s">
        <v>947</v>
      </c>
      <c r="C52" s="1467">
        <f>'Table 5E_OJJ'!C53</f>
        <v>0</v>
      </c>
      <c r="D52" s="1351">
        <v>0</v>
      </c>
      <c r="E52" s="1468">
        <f t="shared" si="1"/>
        <v>0</v>
      </c>
      <c r="F52" s="1352">
        <f t="shared" si="2"/>
        <v>0</v>
      </c>
      <c r="G52" s="1468">
        <f t="shared" si="3"/>
        <v>0</v>
      </c>
      <c r="H52" s="1353">
        <f>'Table 5E_OJJ'!F53</f>
        <v>7200.7355314131173</v>
      </c>
      <c r="I52" s="1354">
        <f t="shared" si="4"/>
        <v>0</v>
      </c>
      <c r="J52" s="1365">
        <f t="shared" si="5"/>
        <v>0</v>
      </c>
      <c r="K52" s="1365">
        <f t="shared" si="6"/>
        <v>0</v>
      </c>
    </row>
    <row r="53" spans="1:11" ht="16.5" customHeight="1">
      <c r="A53" s="1186">
        <v>48</v>
      </c>
      <c r="B53" s="1186" t="s">
        <v>948</v>
      </c>
      <c r="C53" s="1467">
        <f>'Table 5E_OJJ'!C54</f>
        <v>1.2452920000000001</v>
      </c>
      <c r="D53" s="1355">
        <v>1.2452920000000001</v>
      </c>
      <c r="E53" s="1468">
        <f t="shared" si="1"/>
        <v>0</v>
      </c>
      <c r="F53" s="1352">
        <f t="shared" si="2"/>
        <v>0</v>
      </c>
      <c r="G53" s="1468">
        <f t="shared" si="3"/>
        <v>0</v>
      </c>
      <c r="H53" s="1356">
        <f>'Table 5E_OJJ'!F54</f>
        <v>7175.605654654617</v>
      </c>
      <c r="I53" s="1354">
        <f t="shared" si="4"/>
        <v>0</v>
      </c>
      <c r="J53" s="1365">
        <f t="shared" si="5"/>
        <v>0</v>
      </c>
      <c r="K53" s="1365">
        <f t="shared" si="6"/>
        <v>0</v>
      </c>
    </row>
    <row r="54" spans="1:11" ht="16.5" customHeight="1">
      <c r="A54" s="1186">
        <v>49</v>
      </c>
      <c r="B54" s="1186" t="s">
        <v>949</v>
      </c>
      <c r="C54" s="1467">
        <f>'Table 5E_OJJ'!C55</f>
        <v>6.3351879999999996</v>
      </c>
      <c r="D54" s="1355">
        <v>6.3351879999999996</v>
      </c>
      <c r="E54" s="1468">
        <f t="shared" si="1"/>
        <v>0</v>
      </c>
      <c r="F54" s="1352">
        <f t="shared" si="2"/>
        <v>0</v>
      </c>
      <c r="G54" s="1468">
        <f t="shared" si="3"/>
        <v>0</v>
      </c>
      <c r="H54" s="1356">
        <f>'Table 5E_OJJ'!F55</f>
        <v>8637.0622670792727</v>
      </c>
      <c r="I54" s="1354">
        <f t="shared" si="4"/>
        <v>0</v>
      </c>
      <c r="J54" s="1365">
        <f t="shared" si="5"/>
        <v>0</v>
      </c>
      <c r="K54" s="1365">
        <f t="shared" si="6"/>
        <v>0</v>
      </c>
    </row>
    <row r="55" spans="1:11" ht="16.5" customHeight="1">
      <c r="A55" s="1192">
        <v>50</v>
      </c>
      <c r="B55" s="1192" t="s">
        <v>950</v>
      </c>
      <c r="C55" s="1469">
        <f>'Table 5E_OJJ'!C56</f>
        <v>6.0297140000000002</v>
      </c>
      <c r="D55" s="1358">
        <v>6.0297140000000002</v>
      </c>
      <c r="E55" s="1470">
        <f t="shared" si="1"/>
        <v>0</v>
      </c>
      <c r="F55" s="1359">
        <f t="shared" si="2"/>
        <v>0</v>
      </c>
      <c r="G55" s="1470">
        <f t="shared" si="3"/>
        <v>0</v>
      </c>
      <c r="H55" s="1361">
        <f>'Table 5E_OJJ'!F56</f>
        <v>8974.827558375182</v>
      </c>
      <c r="I55" s="1362">
        <f t="shared" si="4"/>
        <v>0</v>
      </c>
      <c r="J55" s="1366">
        <f t="shared" si="5"/>
        <v>0</v>
      </c>
      <c r="K55" s="1366">
        <f t="shared" si="6"/>
        <v>0</v>
      </c>
    </row>
    <row r="56" spans="1:11" ht="16.5" customHeight="1">
      <c r="A56" s="1186">
        <v>51</v>
      </c>
      <c r="B56" s="1186" t="s">
        <v>951</v>
      </c>
      <c r="C56" s="1467">
        <f>'Table 5E_OJJ'!C57</f>
        <v>3.476378</v>
      </c>
      <c r="D56" s="1351">
        <v>3.476378</v>
      </c>
      <c r="E56" s="1468">
        <f t="shared" si="1"/>
        <v>0</v>
      </c>
      <c r="F56" s="1352">
        <f t="shared" si="2"/>
        <v>0</v>
      </c>
      <c r="G56" s="1468">
        <f t="shared" si="3"/>
        <v>0</v>
      </c>
      <c r="H56" s="1353">
        <f>'Table 5E_OJJ'!F57</f>
        <v>8375.0937919974422</v>
      </c>
      <c r="I56" s="1354">
        <f t="shared" si="4"/>
        <v>0</v>
      </c>
      <c r="J56" s="1365">
        <f t="shared" si="5"/>
        <v>0</v>
      </c>
      <c r="K56" s="1365">
        <f t="shared" si="6"/>
        <v>0</v>
      </c>
    </row>
    <row r="57" spans="1:11" ht="16.5" customHeight="1">
      <c r="A57" s="1186">
        <v>52</v>
      </c>
      <c r="B57" s="1186" t="s">
        <v>667</v>
      </c>
      <c r="C57" s="1467">
        <f>'Table 5E_OJJ'!C58</f>
        <v>11.890036</v>
      </c>
      <c r="D57" s="1351">
        <v>11.890036</v>
      </c>
      <c r="E57" s="1468">
        <f t="shared" si="1"/>
        <v>0</v>
      </c>
      <c r="F57" s="1352">
        <f t="shared" si="2"/>
        <v>0</v>
      </c>
      <c r="G57" s="1468">
        <f t="shared" si="3"/>
        <v>0</v>
      </c>
      <c r="H57" s="1353">
        <f>'Table 5E_OJJ'!F58</f>
        <v>8900.7574054364904</v>
      </c>
      <c r="I57" s="1354">
        <f t="shared" si="4"/>
        <v>0</v>
      </c>
      <c r="J57" s="1365">
        <f t="shared" si="5"/>
        <v>0</v>
      </c>
      <c r="K57" s="1365">
        <f t="shared" si="6"/>
        <v>0</v>
      </c>
    </row>
    <row r="58" spans="1:11" ht="16.5" customHeight="1">
      <c r="A58" s="1186">
        <v>53</v>
      </c>
      <c r="B58" s="1186" t="s">
        <v>952</v>
      </c>
      <c r="C58" s="1467">
        <f>'Table 5E_OJJ'!C59</f>
        <v>6.9142640000000002</v>
      </c>
      <c r="D58" s="1355">
        <v>6.9142640000000002</v>
      </c>
      <c r="E58" s="1468">
        <f t="shared" si="1"/>
        <v>0</v>
      </c>
      <c r="F58" s="1352">
        <f t="shared" si="2"/>
        <v>0</v>
      </c>
      <c r="G58" s="1468">
        <f t="shared" si="3"/>
        <v>0</v>
      </c>
      <c r="H58" s="1356">
        <f>'Table 5E_OJJ'!F59</f>
        <v>8624.9666263083272</v>
      </c>
      <c r="I58" s="1354">
        <f t="shared" si="4"/>
        <v>0</v>
      </c>
      <c r="J58" s="1365">
        <f t="shared" si="5"/>
        <v>0</v>
      </c>
      <c r="K58" s="1365">
        <f t="shared" si="6"/>
        <v>0</v>
      </c>
    </row>
    <row r="59" spans="1:11" ht="16.5" customHeight="1">
      <c r="A59" s="1186">
        <v>54</v>
      </c>
      <c r="B59" s="1186" t="s">
        <v>953</v>
      </c>
      <c r="C59" s="1467">
        <f>'Table 5E_OJJ'!C60</f>
        <v>0.83989899999999995</v>
      </c>
      <c r="D59" s="1355">
        <v>0.83989899999999995</v>
      </c>
      <c r="E59" s="1468">
        <f t="shared" si="1"/>
        <v>0</v>
      </c>
      <c r="F59" s="1352">
        <f t="shared" si="2"/>
        <v>0</v>
      </c>
      <c r="G59" s="1468">
        <f t="shared" si="3"/>
        <v>0</v>
      </c>
      <c r="H59" s="1356">
        <f>'Table 5E_OJJ'!F60</f>
        <v>10166.043608098897</v>
      </c>
      <c r="I59" s="1354">
        <f t="shared" si="4"/>
        <v>0</v>
      </c>
      <c r="J59" s="1365">
        <f t="shared" si="5"/>
        <v>0</v>
      </c>
      <c r="K59" s="1365">
        <f t="shared" si="6"/>
        <v>0</v>
      </c>
    </row>
    <row r="60" spans="1:11" ht="16.5" customHeight="1">
      <c r="A60" s="1192">
        <v>55</v>
      </c>
      <c r="B60" s="1192" t="s">
        <v>954</v>
      </c>
      <c r="C60" s="1469">
        <f>'Table 5E_OJJ'!C61</f>
        <v>9.2746729999999999</v>
      </c>
      <c r="D60" s="1358">
        <v>9.2746729999999999</v>
      </c>
      <c r="E60" s="1470">
        <f t="shared" si="1"/>
        <v>0</v>
      </c>
      <c r="F60" s="1359">
        <f t="shared" si="2"/>
        <v>0</v>
      </c>
      <c r="G60" s="1470">
        <f t="shared" si="3"/>
        <v>0</v>
      </c>
      <c r="H60" s="1361">
        <f>'Table 5E_OJJ'!F61</f>
        <v>7872.9096067668579</v>
      </c>
      <c r="I60" s="1362">
        <f t="shared" si="4"/>
        <v>0</v>
      </c>
      <c r="J60" s="1366">
        <f t="shared" si="5"/>
        <v>0</v>
      </c>
      <c r="K60" s="1366">
        <f t="shared" si="6"/>
        <v>0</v>
      </c>
    </row>
    <row r="61" spans="1:11" ht="16.5" customHeight="1">
      <c r="A61" s="1186">
        <v>56</v>
      </c>
      <c r="B61" s="1186" t="s">
        <v>652</v>
      </c>
      <c r="C61" s="1467">
        <f>'Table 5E_OJJ'!C62</f>
        <v>0</v>
      </c>
      <c r="D61" s="1351">
        <v>0</v>
      </c>
      <c r="E61" s="1468">
        <f t="shared" si="1"/>
        <v>0</v>
      </c>
      <c r="F61" s="1352">
        <f t="shared" si="2"/>
        <v>0</v>
      </c>
      <c r="G61" s="1468">
        <f t="shared" si="3"/>
        <v>0</v>
      </c>
      <c r="H61" s="1353">
        <f>'Table 5E_OJJ'!F62</f>
        <v>8992.5883104844888</v>
      </c>
      <c r="I61" s="1354">
        <f t="shared" si="4"/>
        <v>0</v>
      </c>
      <c r="J61" s="1365">
        <f t="shared" si="5"/>
        <v>0</v>
      </c>
      <c r="K61" s="1365">
        <f t="shared" si="6"/>
        <v>0</v>
      </c>
    </row>
    <row r="62" spans="1:11" ht="16.5" customHeight="1">
      <c r="A62" s="1186">
        <v>57</v>
      </c>
      <c r="B62" s="1186" t="s">
        <v>955</v>
      </c>
      <c r="C62" s="1467">
        <f>'Table 5E_OJJ'!C63</f>
        <v>3.5629149999999998</v>
      </c>
      <c r="D62" s="1351">
        <v>3.5629149999999998</v>
      </c>
      <c r="E62" s="1468">
        <f t="shared" si="1"/>
        <v>0</v>
      </c>
      <c r="F62" s="1352">
        <f t="shared" si="2"/>
        <v>0</v>
      </c>
      <c r="G62" s="1468">
        <f t="shared" si="3"/>
        <v>0</v>
      </c>
      <c r="H62" s="1353">
        <f>'Table 5E_OJJ'!F63</f>
        <v>8430.8557679078258</v>
      </c>
      <c r="I62" s="1354">
        <f t="shared" si="4"/>
        <v>0</v>
      </c>
      <c r="J62" s="1365">
        <f t="shared" si="5"/>
        <v>0</v>
      </c>
      <c r="K62" s="1365">
        <f t="shared" si="6"/>
        <v>0</v>
      </c>
    </row>
    <row r="63" spans="1:11" ht="16.5" customHeight="1">
      <c r="A63" s="1186">
        <v>58</v>
      </c>
      <c r="B63" s="1186" t="s">
        <v>956</v>
      </c>
      <c r="C63" s="1467">
        <f>'Table 5E_OJJ'!C64</f>
        <v>2.2962449999999999</v>
      </c>
      <c r="D63" s="1355">
        <v>2.2962449999999999</v>
      </c>
      <c r="E63" s="1468">
        <f t="shared" si="1"/>
        <v>0</v>
      </c>
      <c r="F63" s="1352">
        <f t="shared" si="2"/>
        <v>0</v>
      </c>
      <c r="G63" s="1468">
        <f t="shared" si="3"/>
        <v>0</v>
      </c>
      <c r="H63" s="1356">
        <f>'Table 5E_OJJ'!F64</f>
        <v>9344.9642388373541</v>
      </c>
      <c r="I63" s="1354">
        <f t="shared" si="4"/>
        <v>0</v>
      </c>
      <c r="J63" s="1365">
        <f t="shared" si="5"/>
        <v>0</v>
      </c>
      <c r="K63" s="1365">
        <f t="shared" si="6"/>
        <v>0</v>
      </c>
    </row>
    <row r="64" spans="1:11" ht="16.5" customHeight="1">
      <c r="A64" s="1186">
        <v>59</v>
      </c>
      <c r="B64" s="1186" t="s">
        <v>957</v>
      </c>
      <c r="C64" s="1467">
        <f>'Table 5E_OJJ'!C65</f>
        <v>2.3013699999999999</v>
      </c>
      <c r="D64" s="1355">
        <v>2.3013699999999999</v>
      </c>
      <c r="E64" s="1468">
        <f t="shared" si="1"/>
        <v>0</v>
      </c>
      <c r="F64" s="1352">
        <f t="shared" si="2"/>
        <v>0</v>
      </c>
      <c r="G64" s="1468">
        <f t="shared" si="3"/>
        <v>0</v>
      </c>
      <c r="H64" s="1356">
        <f>'Table 5E_OJJ'!F65</f>
        <v>10553.903168863242</v>
      </c>
      <c r="I64" s="1354">
        <f t="shared" si="4"/>
        <v>0</v>
      </c>
      <c r="J64" s="1365">
        <f t="shared" si="5"/>
        <v>0</v>
      </c>
      <c r="K64" s="1365">
        <f t="shared" si="6"/>
        <v>0</v>
      </c>
    </row>
    <row r="65" spans="1:11" ht="16.5" customHeight="1">
      <c r="A65" s="1192">
        <v>60</v>
      </c>
      <c r="B65" s="1192" t="s">
        <v>958</v>
      </c>
      <c r="C65" s="1469">
        <f>'Table 5E_OJJ'!C66</f>
        <v>1.200501</v>
      </c>
      <c r="D65" s="1358">
        <v>1.200501</v>
      </c>
      <c r="E65" s="1470">
        <f t="shared" si="1"/>
        <v>0</v>
      </c>
      <c r="F65" s="1359">
        <f t="shared" si="2"/>
        <v>0</v>
      </c>
      <c r="G65" s="1470">
        <f t="shared" si="3"/>
        <v>0</v>
      </c>
      <c r="H65" s="1361">
        <f>'Table 5E_OJJ'!F66</f>
        <v>8720.8560905981703</v>
      </c>
      <c r="I65" s="1362">
        <f t="shared" si="4"/>
        <v>0</v>
      </c>
      <c r="J65" s="1366">
        <f t="shared" si="5"/>
        <v>0</v>
      </c>
      <c r="K65" s="1366">
        <f t="shared" si="6"/>
        <v>0</v>
      </c>
    </row>
    <row r="66" spans="1:11" ht="16.5" customHeight="1">
      <c r="A66" s="1186">
        <v>61</v>
      </c>
      <c r="B66" s="1186" t="s">
        <v>959</v>
      </c>
      <c r="C66" s="1467">
        <f>'Table 5E_OJJ'!C67</f>
        <v>7.6846269999999999</v>
      </c>
      <c r="D66" s="1351">
        <v>7.6846269999999999</v>
      </c>
      <c r="E66" s="1468">
        <f t="shared" si="1"/>
        <v>0</v>
      </c>
      <c r="F66" s="1352">
        <f t="shared" si="2"/>
        <v>0</v>
      </c>
      <c r="G66" s="1468">
        <f t="shared" si="3"/>
        <v>0</v>
      </c>
      <c r="H66" s="1353">
        <f>'Table 5E_OJJ'!F67</f>
        <v>6416.7408222965232</v>
      </c>
      <c r="I66" s="1354">
        <f t="shared" si="4"/>
        <v>0</v>
      </c>
      <c r="J66" s="1365">
        <f t="shared" si="5"/>
        <v>0</v>
      </c>
      <c r="K66" s="1365">
        <f t="shared" si="6"/>
        <v>0</v>
      </c>
    </row>
    <row r="67" spans="1:11" ht="16.5" customHeight="1">
      <c r="A67" s="1186">
        <v>62</v>
      </c>
      <c r="B67" s="1186" t="s">
        <v>960</v>
      </c>
      <c r="C67" s="1467">
        <f>'Table 5E_OJJ'!C68</f>
        <v>0.99442900000000001</v>
      </c>
      <c r="D67" s="1351">
        <v>0.99442900000000001</v>
      </c>
      <c r="E67" s="1468">
        <f t="shared" si="1"/>
        <v>0</v>
      </c>
      <c r="F67" s="1352">
        <f t="shared" si="2"/>
        <v>0</v>
      </c>
      <c r="G67" s="1468">
        <f t="shared" si="3"/>
        <v>0</v>
      </c>
      <c r="H67" s="1353">
        <f>'Table 5E_OJJ'!F68</f>
        <v>9393.4063904243012</v>
      </c>
      <c r="I67" s="1354">
        <f t="shared" si="4"/>
        <v>0</v>
      </c>
      <c r="J67" s="1365">
        <f t="shared" si="5"/>
        <v>0</v>
      </c>
      <c r="K67" s="1365">
        <f t="shared" si="6"/>
        <v>0</v>
      </c>
    </row>
    <row r="68" spans="1:11" ht="16.5" customHeight="1">
      <c r="A68" s="1186">
        <v>63</v>
      </c>
      <c r="B68" s="1186" t="s">
        <v>961</v>
      </c>
      <c r="C68" s="1467">
        <f>'Table 5E_OJJ'!C69</f>
        <v>1.994429</v>
      </c>
      <c r="D68" s="1355">
        <v>1.994429</v>
      </c>
      <c r="E68" s="1468">
        <f t="shared" si="1"/>
        <v>0</v>
      </c>
      <c r="F68" s="1352">
        <f t="shared" si="2"/>
        <v>0</v>
      </c>
      <c r="G68" s="1468">
        <f t="shared" si="3"/>
        <v>0</v>
      </c>
      <c r="H68" s="1356">
        <f>'Table 5E_OJJ'!F69</f>
        <v>8057.0382917191992</v>
      </c>
      <c r="I68" s="1354">
        <f t="shared" si="4"/>
        <v>0</v>
      </c>
      <c r="J68" s="1365">
        <f t="shared" si="5"/>
        <v>0</v>
      </c>
      <c r="K68" s="1365">
        <f t="shared" si="6"/>
        <v>0</v>
      </c>
    </row>
    <row r="69" spans="1:11" ht="16.5" customHeight="1">
      <c r="A69" s="1186">
        <v>64</v>
      </c>
      <c r="B69" s="1186" t="s">
        <v>962</v>
      </c>
      <c r="C69" s="1467">
        <f>'Table 5E_OJJ'!C70</f>
        <v>0</v>
      </c>
      <c r="D69" s="1355">
        <v>0</v>
      </c>
      <c r="E69" s="1468">
        <f t="shared" si="1"/>
        <v>0</v>
      </c>
      <c r="F69" s="1352">
        <f t="shared" si="2"/>
        <v>0</v>
      </c>
      <c r="G69" s="1468">
        <f t="shared" si="3"/>
        <v>0</v>
      </c>
      <c r="H69" s="1356">
        <f>'Table 5E_OJJ'!F70</f>
        <v>9960.5576244663916</v>
      </c>
      <c r="I69" s="1354">
        <f t="shared" si="4"/>
        <v>0</v>
      </c>
      <c r="J69" s="1365">
        <f t="shared" si="5"/>
        <v>0</v>
      </c>
      <c r="K69" s="1365">
        <f t="shared" si="6"/>
        <v>0</v>
      </c>
    </row>
    <row r="70" spans="1:11" ht="16.5" customHeight="1">
      <c r="A70" s="1192">
        <v>65</v>
      </c>
      <c r="B70" s="1192" t="s">
        <v>963</v>
      </c>
      <c r="C70" s="1469">
        <f>'Table 5E_OJJ'!C71</f>
        <v>2.7040000000000002</v>
      </c>
      <c r="D70" s="1358">
        <v>2.7040000000000002</v>
      </c>
      <c r="E70" s="1470">
        <f t="shared" si="1"/>
        <v>0</v>
      </c>
      <c r="F70" s="1359">
        <f t="shared" si="2"/>
        <v>0</v>
      </c>
      <c r="G70" s="1470">
        <f t="shared" si="3"/>
        <v>0</v>
      </c>
      <c r="H70" s="1361">
        <f>'Table 5E_OJJ'!F71</f>
        <v>8497.4226537804316</v>
      </c>
      <c r="I70" s="1362">
        <f t="shared" si="4"/>
        <v>0</v>
      </c>
      <c r="J70" s="1366">
        <f t="shared" si="5"/>
        <v>0</v>
      </c>
      <c r="K70" s="1366">
        <f t="shared" si="6"/>
        <v>0</v>
      </c>
    </row>
    <row r="71" spans="1:11" ht="16.5" customHeight="1">
      <c r="A71" s="1197">
        <v>66</v>
      </c>
      <c r="B71" s="1197" t="s">
        <v>964</v>
      </c>
      <c r="C71" s="1467">
        <f>'Table 5E_OJJ'!C72</f>
        <v>2.9558900000000001</v>
      </c>
      <c r="D71" s="1355">
        <v>2.9558900000000001</v>
      </c>
      <c r="E71" s="1468">
        <f>D71-C71</f>
        <v>0</v>
      </c>
      <c r="F71" s="1352">
        <f>IF(E71&gt;0,E71,0)</f>
        <v>0</v>
      </c>
      <c r="G71" s="1468">
        <f>IF(E71&lt;0,E71,0)</f>
        <v>0</v>
      </c>
      <c r="H71" s="1356">
        <f>'Table 5E_OJJ'!F72</f>
        <v>10546.798098587848</v>
      </c>
      <c r="I71" s="1354">
        <f t="shared" ref="I71:I74" si="7">E71*H71</f>
        <v>0</v>
      </c>
      <c r="J71" s="1365">
        <f>IF(I71&gt;0,I71,0)</f>
        <v>0</v>
      </c>
      <c r="K71" s="1365">
        <f>IF(I71&lt;0,I71,0)</f>
        <v>0</v>
      </c>
    </row>
    <row r="72" spans="1:11" ht="16.5" customHeight="1">
      <c r="A72" s="1186">
        <v>67</v>
      </c>
      <c r="B72" s="1186" t="s">
        <v>965</v>
      </c>
      <c r="C72" s="1467">
        <f>'Table 5E_OJJ'!C73</f>
        <v>0.47199999999999998</v>
      </c>
      <c r="D72" s="1351">
        <v>0.47199999999999998</v>
      </c>
      <c r="E72" s="1468">
        <f>D72-C72</f>
        <v>0</v>
      </c>
      <c r="F72" s="1352">
        <f>IF(E72&gt;0,E72,0)</f>
        <v>0</v>
      </c>
      <c r="G72" s="1468">
        <f>IF(E72&lt;0,E72,0)</f>
        <v>0</v>
      </c>
      <c r="H72" s="1353">
        <f>'Table 5E_OJJ'!F73</f>
        <v>8991.31902943768</v>
      </c>
      <c r="I72" s="1354">
        <f t="shared" si="7"/>
        <v>0</v>
      </c>
      <c r="J72" s="1365">
        <f>IF(I72&gt;0,I72,0)</f>
        <v>0</v>
      </c>
      <c r="K72" s="1365">
        <f>IF(I72&lt;0,I72,0)</f>
        <v>0</v>
      </c>
    </row>
    <row r="73" spans="1:11" ht="16.5" customHeight="1">
      <c r="A73" s="1186">
        <v>68</v>
      </c>
      <c r="B73" s="1186" t="s">
        <v>966</v>
      </c>
      <c r="C73" s="1467">
        <f>'Table 5E_OJJ'!C74</f>
        <v>0</v>
      </c>
      <c r="D73" s="1351">
        <v>0</v>
      </c>
      <c r="E73" s="1468">
        <f>D73-C73</f>
        <v>0</v>
      </c>
      <c r="F73" s="1352">
        <f>IF(E73&gt;0,E73,0)</f>
        <v>0</v>
      </c>
      <c r="G73" s="1468">
        <f>IF(E73&lt;0,E73,0)</f>
        <v>0</v>
      </c>
      <c r="H73" s="1353">
        <f>'Table 5E_OJJ'!F74</f>
        <v>10231.665163466181</v>
      </c>
      <c r="I73" s="1354">
        <f t="shared" si="7"/>
        <v>0</v>
      </c>
      <c r="J73" s="1365">
        <f>IF(I73&gt;0,I73,0)</f>
        <v>0</v>
      </c>
      <c r="K73" s="1365">
        <f>IF(I73&lt;0,I73,0)</f>
        <v>0</v>
      </c>
    </row>
    <row r="74" spans="1:11" ht="16.5" customHeight="1">
      <c r="A74" s="1213">
        <v>69</v>
      </c>
      <c r="B74" s="1199" t="s">
        <v>967</v>
      </c>
      <c r="C74" s="1467">
        <f>'Table 5E_OJJ'!C75</f>
        <v>0</v>
      </c>
      <c r="D74" s="1351">
        <v>0</v>
      </c>
      <c r="E74" s="1468">
        <f>D74-C74</f>
        <v>0</v>
      </c>
      <c r="F74" s="1352">
        <f>IF(E74&gt;0,E74,0)</f>
        <v>0</v>
      </c>
      <c r="G74" s="1468">
        <f>IF(E74&lt;0,E74,0)</f>
        <v>0</v>
      </c>
      <c r="H74" s="1353">
        <f>'Table 5E_OJJ'!F75</f>
        <v>9630.6053028236965</v>
      </c>
      <c r="I74" s="1354">
        <f t="shared" si="7"/>
        <v>0</v>
      </c>
      <c r="J74" s="1365">
        <f>IF(I74&gt;0,I74,0)</f>
        <v>0</v>
      </c>
      <c r="K74" s="1365">
        <f>IF(I74&lt;0,I74,0)</f>
        <v>0</v>
      </c>
    </row>
    <row r="75" spans="1:11" s="1204" customFormat="1" ht="16.5" customHeight="1" thickBot="1">
      <c r="A75" s="1369"/>
      <c r="B75" s="1201" t="s">
        <v>1154</v>
      </c>
      <c r="C75" s="1370">
        <f>SUM(C6:C74)</f>
        <v>330.32457200000005</v>
      </c>
      <c r="D75" s="1370">
        <f t="shared" ref="D75:K75" si="8">SUM(D6:D74)</f>
        <v>330.32457200000005</v>
      </c>
      <c r="E75" s="1370">
        <f t="shared" si="8"/>
        <v>0</v>
      </c>
      <c r="F75" s="1370">
        <f t="shared" si="8"/>
        <v>0</v>
      </c>
      <c r="G75" s="1370">
        <f t="shared" si="8"/>
        <v>0</v>
      </c>
      <c r="H75" s="1371"/>
      <c r="I75" s="1371">
        <f t="shared" si="8"/>
        <v>0</v>
      </c>
      <c r="J75" s="1371">
        <f t="shared" si="8"/>
        <v>0</v>
      </c>
      <c r="K75" s="1371">
        <f t="shared" si="8"/>
        <v>0</v>
      </c>
    </row>
    <row r="76" spans="1:11" ht="16.5" customHeight="1" thickTop="1"/>
  </sheetData>
  <mergeCells count="11">
    <mergeCell ref="F2:F3"/>
    <mergeCell ref="A2:A3"/>
    <mergeCell ref="B2:B3"/>
    <mergeCell ref="C2:C3"/>
    <mergeCell ref="D2:D3"/>
    <mergeCell ref="E2:E3"/>
    <mergeCell ref="G2:G3"/>
    <mergeCell ref="H2:H3"/>
    <mergeCell ref="I2:I3"/>
    <mergeCell ref="J2:J3"/>
    <mergeCell ref="K2:K3"/>
  </mergeCells>
  <pageMargins left="0.7" right="0.7" top="0.75" bottom="0.75" header="0.3" footer="0.3"/>
  <pageSetup paperSize="5" scale="48" orientation="portrait" r:id="rId1"/>
  <headerFooter>
    <oddHeader>&amp;L&amp;"Arial,Bold"&amp;24FY2011-12 MFP Budget Letter: October 1 Mid-year Adjustment for Students</oddHeader>
    <oddFooter>&amp;L&amp;Z&amp;F</oddFooter>
  </headerFooter>
</worksheet>
</file>

<file path=xl/worksheets/sheet23.xml><?xml version="1.0" encoding="utf-8"?>
<worksheet xmlns="http://schemas.openxmlformats.org/spreadsheetml/2006/main" xmlns:r="http://schemas.openxmlformats.org/officeDocument/2006/relationships">
  <dimension ref="A1:M223"/>
  <sheetViews>
    <sheetView view="pageBreakPreview" zoomScale="70" zoomScaleNormal="70" zoomScaleSheetLayoutView="70" workbookViewId="0">
      <pane xSplit="2" ySplit="5" topLeftCell="C6" activePane="bottomRight" state="frozen"/>
      <selection pane="topRight"/>
      <selection pane="bottomLeft"/>
      <selection pane="bottomRight" activeCell="A213" sqref="A213:XFD223"/>
    </sheetView>
  </sheetViews>
  <sheetFormatPr defaultRowHeight="12.75"/>
  <cols>
    <col min="1" max="1" width="8.42578125" style="1181" customWidth="1"/>
    <col min="2" max="2" width="67.42578125" style="1181" customWidth="1"/>
    <col min="3" max="3" width="14" style="1181" bestFit="1" customWidth="1"/>
    <col min="4" max="4" width="12.5703125" style="1181" customWidth="1"/>
    <col min="5" max="5" width="14.140625" style="1181" customWidth="1"/>
    <col min="6" max="7" width="11.7109375" style="1181" customWidth="1"/>
    <col min="8" max="8" width="18" style="1465" customWidth="1"/>
    <col min="9" max="9" width="11.5703125" style="1466" customWidth="1"/>
    <col min="10" max="10" width="15.42578125" style="1181" customWidth="1"/>
    <col min="11" max="11" width="16.28515625" style="1465" customWidth="1"/>
    <col min="12" max="12" width="12.5703125" style="1181" customWidth="1"/>
    <col min="13" max="13" width="14.42578125" style="1181" customWidth="1"/>
    <col min="14" max="256" width="9.140625" style="1181"/>
    <col min="257" max="257" width="4.42578125" style="1181" customWidth="1"/>
    <col min="258" max="258" width="46.85546875" style="1181" customWidth="1"/>
    <col min="259" max="259" width="11.28515625" style="1181" bestFit="1" customWidth="1"/>
    <col min="260" max="260" width="11.42578125" style="1181" bestFit="1" customWidth="1"/>
    <col min="261" max="261" width="11.85546875" style="1181" customWidth="1"/>
    <col min="262" max="262" width="10" style="1181" customWidth="1"/>
    <col min="263" max="263" width="11.140625" style="1181" customWidth="1"/>
    <col min="264" max="264" width="10.28515625" style="1181" bestFit="1" customWidth="1"/>
    <col min="265" max="265" width="10.140625" style="1181" bestFit="1" customWidth="1"/>
    <col min="266" max="266" width="12" style="1181" bestFit="1" customWidth="1"/>
    <col min="267" max="267" width="14.28515625" style="1181" bestFit="1" customWidth="1"/>
    <col min="268" max="268" width="13.5703125" style="1181" bestFit="1" customWidth="1"/>
    <col min="269" max="269" width="13.85546875" style="1181" bestFit="1" customWidth="1"/>
    <col min="270" max="512" width="9.140625" style="1181"/>
    <col min="513" max="513" width="4.42578125" style="1181" customWidth="1"/>
    <col min="514" max="514" width="46.85546875" style="1181" customWidth="1"/>
    <col min="515" max="515" width="11.28515625" style="1181" bestFit="1" customWidth="1"/>
    <col min="516" max="516" width="11.42578125" style="1181" bestFit="1" customWidth="1"/>
    <col min="517" max="517" width="11.85546875" style="1181" customWidth="1"/>
    <col min="518" max="518" width="10" style="1181" customWidth="1"/>
    <col min="519" max="519" width="11.140625" style="1181" customWidth="1"/>
    <col min="520" max="520" width="10.28515625" style="1181" bestFit="1" customWidth="1"/>
    <col min="521" max="521" width="10.140625" style="1181" bestFit="1" customWidth="1"/>
    <col min="522" max="522" width="12" style="1181" bestFit="1" customWidth="1"/>
    <col min="523" max="523" width="14.28515625" style="1181" bestFit="1" customWidth="1"/>
    <col min="524" max="524" width="13.5703125" style="1181" bestFit="1" customWidth="1"/>
    <col min="525" max="525" width="13.85546875" style="1181" bestFit="1" customWidth="1"/>
    <col min="526" max="768" width="9.140625" style="1181"/>
    <col min="769" max="769" width="4.42578125" style="1181" customWidth="1"/>
    <col min="770" max="770" width="46.85546875" style="1181" customWidth="1"/>
    <col min="771" max="771" width="11.28515625" style="1181" bestFit="1" customWidth="1"/>
    <col min="772" max="772" width="11.42578125" style="1181" bestFit="1" customWidth="1"/>
    <col min="773" max="773" width="11.85546875" style="1181" customWidth="1"/>
    <col min="774" max="774" width="10" style="1181" customWidth="1"/>
    <col min="775" max="775" width="11.140625" style="1181" customWidth="1"/>
    <col min="776" max="776" width="10.28515625" style="1181" bestFit="1" customWidth="1"/>
    <col min="777" max="777" width="10.140625" style="1181" bestFit="1" customWidth="1"/>
    <col min="778" max="778" width="12" style="1181" bestFit="1" customWidth="1"/>
    <col min="779" max="779" width="14.28515625" style="1181" bestFit="1" customWidth="1"/>
    <col min="780" max="780" width="13.5703125" style="1181" bestFit="1" customWidth="1"/>
    <col min="781" max="781" width="13.85546875" style="1181" bestFit="1" customWidth="1"/>
    <col min="782" max="1024" width="9.140625" style="1181"/>
    <col min="1025" max="1025" width="4.42578125" style="1181" customWidth="1"/>
    <col min="1026" max="1026" width="46.85546875" style="1181" customWidth="1"/>
    <col min="1027" max="1027" width="11.28515625" style="1181" bestFit="1" customWidth="1"/>
    <col min="1028" max="1028" width="11.42578125" style="1181" bestFit="1" customWidth="1"/>
    <col min="1029" max="1029" width="11.85546875" style="1181" customWidth="1"/>
    <col min="1030" max="1030" width="10" style="1181" customWidth="1"/>
    <col min="1031" max="1031" width="11.140625" style="1181" customWidth="1"/>
    <col min="1032" max="1032" width="10.28515625" style="1181" bestFit="1" customWidth="1"/>
    <col min="1033" max="1033" width="10.140625" style="1181" bestFit="1" customWidth="1"/>
    <col min="1034" max="1034" width="12" style="1181" bestFit="1" customWidth="1"/>
    <col min="1035" max="1035" width="14.28515625" style="1181" bestFit="1" customWidth="1"/>
    <col min="1036" max="1036" width="13.5703125" style="1181" bestFit="1" customWidth="1"/>
    <col min="1037" max="1037" width="13.85546875" style="1181" bestFit="1" customWidth="1"/>
    <col min="1038" max="1280" width="9.140625" style="1181"/>
    <col min="1281" max="1281" width="4.42578125" style="1181" customWidth="1"/>
    <col min="1282" max="1282" width="46.85546875" style="1181" customWidth="1"/>
    <col min="1283" max="1283" width="11.28515625" style="1181" bestFit="1" customWidth="1"/>
    <col min="1284" max="1284" width="11.42578125" style="1181" bestFit="1" customWidth="1"/>
    <col min="1285" max="1285" width="11.85546875" style="1181" customWidth="1"/>
    <col min="1286" max="1286" width="10" style="1181" customWidth="1"/>
    <col min="1287" max="1287" width="11.140625" style="1181" customWidth="1"/>
    <col min="1288" max="1288" width="10.28515625" style="1181" bestFit="1" customWidth="1"/>
    <col min="1289" max="1289" width="10.140625" style="1181" bestFit="1" customWidth="1"/>
    <col min="1290" max="1290" width="12" style="1181" bestFit="1" customWidth="1"/>
    <col min="1291" max="1291" width="14.28515625" style="1181" bestFit="1" customWidth="1"/>
    <col min="1292" max="1292" width="13.5703125" style="1181" bestFit="1" customWidth="1"/>
    <col min="1293" max="1293" width="13.85546875" style="1181" bestFit="1" customWidth="1"/>
    <col min="1294" max="1536" width="9.140625" style="1181"/>
    <col min="1537" max="1537" width="4.42578125" style="1181" customWidth="1"/>
    <col min="1538" max="1538" width="46.85546875" style="1181" customWidth="1"/>
    <col min="1539" max="1539" width="11.28515625" style="1181" bestFit="1" customWidth="1"/>
    <col min="1540" max="1540" width="11.42578125" style="1181" bestFit="1" customWidth="1"/>
    <col min="1541" max="1541" width="11.85546875" style="1181" customWidth="1"/>
    <col min="1542" max="1542" width="10" style="1181" customWidth="1"/>
    <col min="1543" max="1543" width="11.140625" style="1181" customWidth="1"/>
    <col min="1544" max="1544" width="10.28515625" style="1181" bestFit="1" customWidth="1"/>
    <col min="1545" max="1545" width="10.140625" style="1181" bestFit="1" customWidth="1"/>
    <col min="1546" max="1546" width="12" style="1181" bestFit="1" customWidth="1"/>
    <col min="1547" max="1547" width="14.28515625" style="1181" bestFit="1" customWidth="1"/>
    <col min="1548" max="1548" width="13.5703125" style="1181" bestFit="1" customWidth="1"/>
    <col min="1549" max="1549" width="13.85546875" style="1181" bestFit="1" customWidth="1"/>
    <col min="1550" max="1792" width="9.140625" style="1181"/>
    <col min="1793" max="1793" width="4.42578125" style="1181" customWidth="1"/>
    <col min="1794" max="1794" width="46.85546875" style="1181" customWidth="1"/>
    <col min="1795" max="1795" width="11.28515625" style="1181" bestFit="1" customWidth="1"/>
    <col min="1796" max="1796" width="11.42578125" style="1181" bestFit="1" customWidth="1"/>
    <col min="1797" max="1797" width="11.85546875" style="1181" customWidth="1"/>
    <col min="1798" max="1798" width="10" style="1181" customWidth="1"/>
    <col min="1799" max="1799" width="11.140625" style="1181" customWidth="1"/>
    <col min="1800" max="1800" width="10.28515625" style="1181" bestFit="1" customWidth="1"/>
    <col min="1801" max="1801" width="10.140625" style="1181" bestFit="1" customWidth="1"/>
    <col min="1802" max="1802" width="12" style="1181" bestFit="1" customWidth="1"/>
    <col min="1803" max="1803" width="14.28515625" style="1181" bestFit="1" customWidth="1"/>
    <col min="1804" max="1804" width="13.5703125" style="1181" bestFit="1" customWidth="1"/>
    <col min="1805" max="1805" width="13.85546875" style="1181" bestFit="1" customWidth="1"/>
    <col min="1806" max="2048" width="9.140625" style="1181"/>
    <col min="2049" max="2049" width="4.42578125" style="1181" customWidth="1"/>
    <col min="2050" max="2050" width="46.85546875" style="1181" customWidth="1"/>
    <col min="2051" max="2051" width="11.28515625" style="1181" bestFit="1" customWidth="1"/>
    <col min="2052" max="2052" width="11.42578125" style="1181" bestFit="1" customWidth="1"/>
    <col min="2053" max="2053" width="11.85546875" style="1181" customWidth="1"/>
    <col min="2054" max="2054" width="10" style="1181" customWidth="1"/>
    <col min="2055" max="2055" width="11.140625" style="1181" customWidth="1"/>
    <col min="2056" max="2056" width="10.28515625" style="1181" bestFit="1" customWidth="1"/>
    <col min="2057" max="2057" width="10.140625" style="1181" bestFit="1" customWidth="1"/>
    <col min="2058" max="2058" width="12" style="1181" bestFit="1" customWidth="1"/>
    <col min="2059" max="2059" width="14.28515625" style="1181" bestFit="1" customWidth="1"/>
    <col min="2060" max="2060" width="13.5703125" style="1181" bestFit="1" customWidth="1"/>
    <col min="2061" max="2061" width="13.85546875" style="1181" bestFit="1" customWidth="1"/>
    <col min="2062" max="2304" width="9.140625" style="1181"/>
    <col min="2305" max="2305" width="4.42578125" style="1181" customWidth="1"/>
    <col min="2306" max="2306" width="46.85546875" style="1181" customWidth="1"/>
    <col min="2307" max="2307" width="11.28515625" style="1181" bestFit="1" customWidth="1"/>
    <col min="2308" max="2308" width="11.42578125" style="1181" bestFit="1" customWidth="1"/>
    <col min="2309" max="2309" width="11.85546875" style="1181" customWidth="1"/>
    <col min="2310" max="2310" width="10" style="1181" customWidth="1"/>
    <col min="2311" max="2311" width="11.140625" style="1181" customWidth="1"/>
    <col min="2312" max="2312" width="10.28515625" style="1181" bestFit="1" customWidth="1"/>
    <col min="2313" max="2313" width="10.140625" style="1181" bestFit="1" customWidth="1"/>
    <col min="2314" max="2314" width="12" style="1181" bestFit="1" customWidth="1"/>
    <col min="2315" max="2315" width="14.28515625" style="1181" bestFit="1" customWidth="1"/>
    <col min="2316" max="2316" width="13.5703125" style="1181" bestFit="1" customWidth="1"/>
    <col min="2317" max="2317" width="13.85546875" style="1181" bestFit="1" customWidth="1"/>
    <col min="2318" max="2560" width="9.140625" style="1181"/>
    <col min="2561" max="2561" width="4.42578125" style="1181" customWidth="1"/>
    <col min="2562" max="2562" width="46.85546875" style="1181" customWidth="1"/>
    <col min="2563" max="2563" width="11.28515625" style="1181" bestFit="1" customWidth="1"/>
    <col min="2564" max="2564" width="11.42578125" style="1181" bestFit="1" customWidth="1"/>
    <col min="2565" max="2565" width="11.85546875" style="1181" customWidth="1"/>
    <col min="2566" max="2566" width="10" style="1181" customWidth="1"/>
    <col min="2567" max="2567" width="11.140625" style="1181" customWidth="1"/>
    <col min="2568" max="2568" width="10.28515625" style="1181" bestFit="1" customWidth="1"/>
    <col min="2569" max="2569" width="10.140625" style="1181" bestFit="1" customWidth="1"/>
    <col min="2570" max="2570" width="12" style="1181" bestFit="1" customWidth="1"/>
    <col min="2571" max="2571" width="14.28515625" style="1181" bestFit="1" customWidth="1"/>
    <col min="2572" max="2572" width="13.5703125" style="1181" bestFit="1" customWidth="1"/>
    <col min="2573" max="2573" width="13.85546875" style="1181" bestFit="1" customWidth="1"/>
    <col min="2574" max="2816" width="9.140625" style="1181"/>
    <col min="2817" max="2817" width="4.42578125" style="1181" customWidth="1"/>
    <col min="2818" max="2818" width="46.85546875" style="1181" customWidth="1"/>
    <col min="2819" max="2819" width="11.28515625" style="1181" bestFit="1" customWidth="1"/>
    <col min="2820" max="2820" width="11.42578125" style="1181" bestFit="1" customWidth="1"/>
    <col min="2821" max="2821" width="11.85546875" style="1181" customWidth="1"/>
    <col min="2822" max="2822" width="10" style="1181" customWidth="1"/>
    <col min="2823" max="2823" width="11.140625" style="1181" customWidth="1"/>
    <col min="2824" max="2824" width="10.28515625" style="1181" bestFit="1" customWidth="1"/>
    <col min="2825" max="2825" width="10.140625" style="1181" bestFit="1" customWidth="1"/>
    <col min="2826" max="2826" width="12" style="1181" bestFit="1" customWidth="1"/>
    <col min="2827" max="2827" width="14.28515625" style="1181" bestFit="1" customWidth="1"/>
    <col min="2828" max="2828" width="13.5703125" style="1181" bestFit="1" customWidth="1"/>
    <col min="2829" max="2829" width="13.85546875" style="1181" bestFit="1" customWidth="1"/>
    <col min="2830" max="3072" width="9.140625" style="1181"/>
    <col min="3073" max="3073" width="4.42578125" style="1181" customWidth="1"/>
    <col min="3074" max="3074" width="46.85546875" style="1181" customWidth="1"/>
    <col min="3075" max="3075" width="11.28515625" style="1181" bestFit="1" customWidth="1"/>
    <col min="3076" max="3076" width="11.42578125" style="1181" bestFit="1" customWidth="1"/>
    <col min="3077" max="3077" width="11.85546875" style="1181" customWidth="1"/>
    <col min="3078" max="3078" width="10" style="1181" customWidth="1"/>
    <col min="3079" max="3079" width="11.140625" style="1181" customWidth="1"/>
    <col min="3080" max="3080" width="10.28515625" style="1181" bestFit="1" customWidth="1"/>
    <col min="3081" max="3081" width="10.140625" style="1181" bestFit="1" customWidth="1"/>
    <col min="3082" max="3082" width="12" style="1181" bestFit="1" customWidth="1"/>
    <col min="3083" max="3083" width="14.28515625" style="1181" bestFit="1" customWidth="1"/>
    <col min="3084" max="3084" width="13.5703125" style="1181" bestFit="1" customWidth="1"/>
    <col min="3085" max="3085" width="13.85546875" style="1181" bestFit="1" customWidth="1"/>
    <col min="3086" max="3328" width="9.140625" style="1181"/>
    <col min="3329" max="3329" width="4.42578125" style="1181" customWidth="1"/>
    <col min="3330" max="3330" width="46.85546875" style="1181" customWidth="1"/>
    <col min="3331" max="3331" width="11.28515625" style="1181" bestFit="1" customWidth="1"/>
    <col min="3332" max="3332" width="11.42578125" style="1181" bestFit="1" customWidth="1"/>
    <col min="3333" max="3333" width="11.85546875" style="1181" customWidth="1"/>
    <col min="3334" max="3334" width="10" style="1181" customWidth="1"/>
    <col min="3335" max="3335" width="11.140625" style="1181" customWidth="1"/>
    <col min="3336" max="3336" width="10.28515625" style="1181" bestFit="1" customWidth="1"/>
    <col min="3337" max="3337" width="10.140625" style="1181" bestFit="1" customWidth="1"/>
    <col min="3338" max="3338" width="12" style="1181" bestFit="1" customWidth="1"/>
    <col min="3339" max="3339" width="14.28515625" style="1181" bestFit="1" customWidth="1"/>
    <col min="3340" max="3340" width="13.5703125" style="1181" bestFit="1" customWidth="1"/>
    <col min="3341" max="3341" width="13.85546875" style="1181" bestFit="1" customWidth="1"/>
    <col min="3342" max="3584" width="9.140625" style="1181"/>
    <col min="3585" max="3585" width="4.42578125" style="1181" customWidth="1"/>
    <col min="3586" max="3586" width="46.85546875" style="1181" customWidth="1"/>
    <col min="3587" max="3587" width="11.28515625" style="1181" bestFit="1" customWidth="1"/>
    <col min="3588" max="3588" width="11.42578125" style="1181" bestFit="1" customWidth="1"/>
    <col min="3589" max="3589" width="11.85546875" style="1181" customWidth="1"/>
    <col min="3590" max="3590" width="10" style="1181" customWidth="1"/>
    <col min="3591" max="3591" width="11.140625" style="1181" customWidth="1"/>
    <col min="3592" max="3592" width="10.28515625" style="1181" bestFit="1" customWidth="1"/>
    <col min="3593" max="3593" width="10.140625" style="1181" bestFit="1" customWidth="1"/>
    <col min="3594" max="3594" width="12" style="1181" bestFit="1" customWidth="1"/>
    <col min="3595" max="3595" width="14.28515625" style="1181" bestFit="1" customWidth="1"/>
    <col min="3596" max="3596" width="13.5703125" style="1181" bestFit="1" customWidth="1"/>
    <col min="3597" max="3597" width="13.85546875" style="1181" bestFit="1" customWidth="1"/>
    <col min="3598" max="3840" width="9.140625" style="1181"/>
    <col min="3841" max="3841" width="4.42578125" style="1181" customWidth="1"/>
    <col min="3842" max="3842" width="46.85546875" style="1181" customWidth="1"/>
    <col min="3843" max="3843" width="11.28515625" style="1181" bestFit="1" customWidth="1"/>
    <col min="3844" max="3844" width="11.42578125" style="1181" bestFit="1" customWidth="1"/>
    <col min="3845" max="3845" width="11.85546875" style="1181" customWidth="1"/>
    <col min="3846" max="3846" width="10" style="1181" customWidth="1"/>
    <col min="3847" max="3847" width="11.140625" style="1181" customWidth="1"/>
    <col min="3848" max="3848" width="10.28515625" style="1181" bestFit="1" customWidth="1"/>
    <col min="3849" max="3849" width="10.140625" style="1181" bestFit="1" customWidth="1"/>
    <col min="3850" max="3850" width="12" style="1181" bestFit="1" customWidth="1"/>
    <col min="3851" max="3851" width="14.28515625" style="1181" bestFit="1" customWidth="1"/>
    <col min="3852" max="3852" width="13.5703125" style="1181" bestFit="1" customWidth="1"/>
    <col min="3853" max="3853" width="13.85546875" style="1181" bestFit="1" customWidth="1"/>
    <col min="3854" max="4096" width="9.140625" style="1181"/>
    <col min="4097" max="4097" width="4.42578125" style="1181" customWidth="1"/>
    <col min="4098" max="4098" width="46.85546875" style="1181" customWidth="1"/>
    <col min="4099" max="4099" width="11.28515625" style="1181" bestFit="1" customWidth="1"/>
    <col min="4100" max="4100" width="11.42578125" style="1181" bestFit="1" customWidth="1"/>
    <col min="4101" max="4101" width="11.85546875" style="1181" customWidth="1"/>
    <col min="4102" max="4102" width="10" style="1181" customWidth="1"/>
    <col min="4103" max="4103" width="11.140625" style="1181" customWidth="1"/>
    <col min="4104" max="4104" width="10.28515625" style="1181" bestFit="1" customWidth="1"/>
    <col min="4105" max="4105" width="10.140625" style="1181" bestFit="1" customWidth="1"/>
    <col min="4106" max="4106" width="12" style="1181" bestFit="1" customWidth="1"/>
    <col min="4107" max="4107" width="14.28515625" style="1181" bestFit="1" customWidth="1"/>
    <col min="4108" max="4108" width="13.5703125" style="1181" bestFit="1" customWidth="1"/>
    <col min="4109" max="4109" width="13.85546875" style="1181" bestFit="1" customWidth="1"/>
    <col min="4110" max="4352" width="9.140625" style="1181"/>
    <col min="4353" max="4353" width="4.42578125" style="1181" customWidth="1"/>
    <col min="4354" max="4354" width="46.85546875" style="1181" customWidth="1"/>
    <col min="4355" max="4355" width="11.28515625" style="1181" bestFit="1" customWidth="1"/>
    <col min="4356" max="4356" width="11.42578125" style="1181" bestFit="1" customWidth="1"/>
    <col min="4357" max="4357" width="11.85546875" style="1181" customWidth="1"/>
    <col min="4358" max="4358" width="10" style="1181" customWidth="1"/>
    <col min="4359" max="4359" width="11.140625" style="1181" customWidth="1"/>
    <col min="4360" max="4360" width="10.28515625" style="1181" bestFit="1" customWidth="1"/>
    <col min="4361" max="4361" width="10.140625" style="1181" bestFit="1" customWidth="1"/>
    <col min="4362" max="4362" width="12" style="1181" bestFit="1" customWidth="1"/>
    <col min="4363" max="4363" width="14.28515625" style="1181" bestFit="1" customWidth="1"/>
    <col min="4364" max="4364" width="13.5703125" style="1181" bestFit="1" customWidth="1"/>
    <col min="4365" max="4365" width="13.85546875" style="1181" bestFit="1" customWidth="1"/>
    <col min="4366" max="4608" width="9.140625" style="1181"/>
    <col min="4609" max="4609" width="4.42578125" style="1181" customWidth="1"/>
    <col min="4610" max="4610" width="46.85546875" style="1181" customWidth="1"/>
    <col min="4611" max="4611" width="11.28515625" style="1181" bestFit="1" customWidth="1"/>
    <col min="4612" max="4612" width="11.42578125" style="1181" bestFit="1" customWidth="1"/>
    <col min="4613" max="4613" width="11.85546875" style="1181" customWidth="1"/>
    <col min="4614" max="4614" width="10" style="1181" customWidth="1"/>
    <col min="4615" max="4615" width="11.140625" style="1181" customWidth="1"/>
    <col min="4616" max="4616" width="10.28515625" style="1181" bestFit="1" customWidth="1"/>
    <col min="4617" max="4617" width="10.140625" style="1181" bestFit="1" customWidth="1"/>
    <col min="4618" max="4618" width="12" style="1181" bestFit="1" customWidth="1"/>
    <col min="4619" max="4619" width="14.28515625" style="1181" bestFit="1" customWidth="1"/>
    <col min="4620" max="4620" width="13.5703125" style="1181" bestFit="1" customWidth="1"/>
    <col min="4621" max="4621" width="13.85546875" style="1181" bestFit="1" customWidth="1"/>
    <col min="4622" max="4864" width="9.140625" style="1181"/>
    <col min="4865" max="4865" width="4.42578125" style="1181" customWidth="1"/>
    <col min="4866" max="4866" width="46.85546875" style="1181" customWidth="1"/>
    <col min="4867" max="4867" width="11.28515625" style="1181" bestFit="1" customWidth="1"/>
    <col min="4868" max="4868" width="11.42578125" style="1181" bestFit="1" customWidth="1"/>
    <col min="4869" max="4869" width="11.85546875" style="1181" customWidth="1"/>
    <col min="4870" max="4870" width="10" style="1181" customWidth="1"/>
    <col min="4871" max="4871" width="11.140625" style="1181" customWidth="1"/>
    <col min="4872" max="4872" width="10.28515625" style="1181" bestFit="1" customWidth="1"/>
    <col min="4873" max="4873" width="10.140625" style="1181" bestFit="1" customWidth="1"/>
    <col min="4874" max="4874" width="12" style="1181" bestFit="1" customWidth="1"/>
    <col min="4875" max="4875" width="14.28515625" style="1181" bestFit="1" customWidth="1"/>
    <col min="4876" max="4876" width="13.5703125" style="1181" bestFit="1" customWidth="1"/>
    <col min="4877" max="4877" width="13.85546875" style="1181" bestFit="1" customWidth="1"/>
    <col min="4878" max="5120" width="9.140625" style="1181"/>
    <col min="5121" max="5121" width="4.42578125" style="1181" customWidth="1"/>
    <col min="5122" max="5122" width="46.85546875" style="1181" customWidth="1"/>
    <col min="5123" max="5123" width="11.28515625" style="1181" bestFit="1" customWidth="1"/>
    <col min="5124" max="5124" width="11.42578125" style="1181" bestFit="1" customWidth="1"/>
    <col min="5125" max="5125" width="11.85546875" style="1181" customWidth="1"/>
    <col min="5126" max="5126" width="10" style="1181" customWidth="1"/>
    <col min="5127" max="5127" width="11.140625" style="1181" customWidth="1"/>
    <col min="5128" max="5128" width="10.28515625" style="1181" bestFit="1" customWidth="1"/>
    <col min="5129" max="5129" width="10.140625" style="1181" bestFit="1" customWidth="1"/>
    <col min="5130" max="5130" width="12" style="1181" bestFit="1" customWidth="1"/>
    <col min="5131" max="5131" width="14.28515625" style="1181" bestFit="1" customWidth="1"/>
    <col min="5132" max="5132" width="13.5703125" style="1181" bestFit="1" customWidth="1"/>
    <col min="5133" max="5133" width="13.85546875" style="1181" bestFit="1" customWidth="1"/>
    <col min="5134" max="5376" width="9.140625" style="1181"/>
    <col min="5377" max="5377" width="4.42578125" style="1181" customWidth="1"/>
    <col min="5378" max="5378" width="46.85546875" style="1181" customWidth="1"/>
    <col min="5379" max="5379" width="11.28515625" style="1181" bestFit="1" customWidth="1"/>
    <col min="5380" max="5380" width="11.42578125" style="1181" bestFit="1" customWidth="1"/>
    <col min="5381" max="5381" width="11.85546875" style="1181" customWidth="1"/>
    <col min="5382" max="5382" width="10" style="1181" customWidth="1"/>
    <col min="5383" max="5383" width="11.140625" style="1181" customWidth="1"/>
    <col min="5384" max="5384" width="10.28515625" style="1181" bestFit="1" customWidth="1"/>
    <col min="5385" max="5385" width="10.140625" style="1181" bestFit="1" customWidth="1"/>
    <col min="5386" max="5386" width="12" style="1181" bestFit="1" customWidth="1"/>
    <col min="5387" max="5387" width="14.28515625" style="1181" bestFit="1" customWidth="1"/>
    <col min="5388" max="5388" width="13.5703125" style="1181" bestFit="1" customWidth="1"/>
    <col min="5389" max="5389" width="13.85546875" style="1181" bestFit="1" customWidth="1"/>
    <col min="5390" max="5632" width="9.140625" style="1181"/>
    <col min="5633" max="5633" width="4.42578125" style="1181" customWidth="1"/>
    <col min="5634" max="5634" width="46.85546875" style="1181" customWidth="1"/>
    <col min="5635" max="5635" width="11.28515625" style="1181" bestFit="1" customWidth="1"/>
    <col min="5636" max="5636" width="11.42578125" style="1181" bestFit="1" customWidth="1"/>
    <col min="5637" max="5637" width="11.85546875" style="1181" customWidth="1"/>
    <col min="5638" max="5638" width="10" style="1181" customWidth="1"/>
    <col min="5639" max="5639" width="11.140625" style="1181" customWidth="1"/>
    <col min="5640" max="5640" width="10.28515625" style="1181" bestFit="1" customWidth="1"/>
    <col min="5641" max="5641" width="10.140625" style="1181" bestFit="1" customWidth="1"/>
    <col min="5642" max="5642" width="12" style="1181" bestFit="1" customWidth="1"/>
    <col min="5643" max="5643" width="14.28515625" style="1181" bestFit="1" customWidth="1"/>
    <col min="5644" max="5644" width="13.5703125" style="1181" bestFit="1" customWidth="1"/>
    <col min="5645" max="5645" width="13.85546875" style="1181" bestFit="1" customWidth="1"/>
    <col min="5646" max="5888" width="9.140625" style="1181"/>
    <col min="5889" max="5889" width="4.42578125" style="1181" customWidth="1"/>
    <col min="5890" max="5890" width="46.85546875" style="1181" customWidth="1"/>
    <col min="5891" max="5891" width="11.28515625" style="1181" bestFit="1" customWidth="1"/>
    <col min="5892" max="5892" width="11.42578125" style="1181" bestFit="1" customWidth="1"/>
    <col min="5893" max="5893" width="11.85546875" style="1181" customWidth="1"/>
    <col min="5894" max="5894" width="10" style="1181" customWidth="1"/>
    <col min="5895" max="5895" width="11.140625" style="1181" customWidth="1"/>
    <col min="5896" max="5896" width="10.28515625" style="1181" bestFit="1" customWidth="1"/>
    <col min="5897" max="5897" width="10.140625" style="1181" bestFit="1" customWidth="1"/>
    <col min="5898" max="5898" width="12" style="1181" bestFit="1" customWidth="1"/>
    <col min="5899" max="5899" width="14.28515625" style="1181" bestFit="1" customWidth="1"/>
    <col min="5900" max="5900" width="13.5703125" style="1181" bestFit="1" customWidth="1"/>
    <col min="5901" max="5901" width="13.85546875" style="1181" bestFit="1" customWidth="1"/>
    <col min="5902" max="6144" width="9.140625" style="1181"/>
    <col min="6145" max="6145" width="4.42578125" style="1181" customWidth="1"/>
    <col min="6146" max="6146" width="46.85546875" style="1181" customWidth="1"/>
    <col min="6147" max="6147" width="11.28515625" style="1181" bestFit="1" customWidth="1"/>
    <col min="6148" max="6148" width="11.42578125" style="1181" bestFit="1" customWidth="1"/>
    <col min="6149" max="6149" width="11.85546875" style="1181" customWidth="1"/>
    <col min="6150" max="6150" width="10" style="1181" customWidth="1"/>
    <col min="6151" max="6151" width="11.140625" style="1181" customWidth="1"/>
    <col min="6152" max="6152" width="10.28515625" style="1181" bestFit="1" customWidth="1"/>
    <col min="6153" max="6153" width="10.140625" style="1181" bestFit="1" customWidth="1"/>
    <col min="6154" max="6154" width="12" style="1181" bestFit="1" customWidth="1"/>
    <col min="6155" max="6155" width="14.28515625" style="1181" bestFit="1" customWidth="1"/>
    <col min="6156" max="6156" width="13.5703125" style="1181" bestFit="1" customWidth="1"/>
    <col min="6157" max="6157" width="13.85546875" style="1181" bestFit="1" customWidth="1"/>
    <col min="6158" max="6400" width="9.140625" style="1181"/>
    <col min="6401" max="6401" width="4.42578125" style="1181" customWidth="1"/>
    <col min="6402" max="6402" width="46.85546875" style="1181" customWidth="1"/>
    <col min="6403" max="6403" width="11.28515625" style="1181" bestFit="1" customWidth="1"/>
    <col min="6404" max="6404" width="11.42578125" style="1181" bestFit="1" customWidth="1"/>
    <col min="6405" max="6405" width="11.85546875" style="1181" customWidth="1"/>
    <col min="6406" max="6406" width="10" style="1181" customWidth="1"/>
    <col min="6407" max="6407" width="11.140625" style="1181" customWidth="1"/>
    <col min="6408" max="6408" width="10.28515625" style="1181" bestFit="1" customWidth="1"/>
    <col min="6409" max="6409" width="10.140625" style="1181" bestFit="1" customWidth="1"/>
    <col min="6410" max="6410" width="12" style="1181" bestFit="1" customWidth="1"/>
    <col min="6411" max="6411" width="14.28515625" style="1181" bestFit="1" customWidth="1"/>
    <col min="6412" max="6412" width="13.5703125" style="1181" bestFit="1" customWidth="1"/>
    <col min="6413" max="6413" width="13.85546875" style="1181" bestFit="1" customWidth="1"/>
    <col min="6414" max="6656" width="9.140625" style="1181"/>
    <col min="6657" max="6657" width="4.42578125" style="1181" customWidth="1"/>
    <col min="6658" max="6658" width="46.85546875" style="1181" customWidth="1"/>
    <col min="6659" max="6659" width="11.28515625" style="1181" bestFit="1" customWidth="1"/>
    <col min="6660" max="6660" width="11.42578125" style="1181" bestFit="1" customWidth="1"/>
    <col min="6661" max="6661" width="11.85546875" style="1181" customWidth="1"/>
    <col min="6662" max="6662" width="10" style="1181" customWidth="1"/>
    <col min="6663" max="6663" width="11.140625" style="1181" customWidth="1"/>
    <col min="6664" max="6664" width="10.28515625" style="1181" bestFit="1" customWidth="1"/>
    <col min="6665" max="6665" width="10.140625" style="1181" bestFit="1" customWidth="1"/>
    <col min="6666" max="6666" width="12" style="1181" bestFit="1" customWidth="1"/>
    <col min="6667" max="6667" width="14.28515625" style="1181" bestFit="1" customWidth="1"/>
    <col min="6668" max="6668" width="13.5703125" style="1181" bestFit="1" customWidth="1"/>
    <col min="6669" max="6669" width="13.85546875" style="1181" bestFit="1" customWidth="1"/>
    <col min="6670" max="6912" width="9.140625" style="1181"/>
    <col min="6913" max="6913" width="4.42578125" style="1181" customWidth="1"/>
    <col min="6914" max="6914" width="46.85546875" style="1181" customWidth="1"/>
    <col min="6915" max="6915" width="11.28515625" style="1181" bestFit="1" customWidth="1"/>
    <col min="6916" max="6916" width="11.42578125" style="1181" bestFit="1" customWidth="1"/>
    <col min="6917" max="6917" width="11.85546875" style="1181" customWidth="1"/>
    <col min="6918" max="6918" width="10" style="1181" customWidth="1"/>
    <col min="6919" max="6919" width="11.140625" style="1181" customWidth="1"/>
    <col min="6920" max="6920" width="10.28515625" style="1181" bestFit="1" customWidth="1"/>
    <col min="6921" max="6921" width="10.140625" style="1181" bestFit="1" customWidth="1"/>
    <col min="6922" max="6922" width="12" style="1181" bestFit="1" customWidth="1"/>
    <col min="6923" max="6923" width="14.28515625" style="1181" bestFit="1" customWidth="1"/>
    <col min="6924" max="6924" width="13.5703125" style="1181" bestFit="1" customWidth="1"/>
    <col min="6925" max="6925" width="13.85546875" style="1181" bestFit="1" customWidth="1"/>
    <col min="6926" max="7168" width="9.140625" style="1181"/>
    <col min="7169" max="7169" width="4.42578125" style="1181" customWidth="1"/>
    <col min="7170" max="7170" width="46.85546875" style="1181" customWidth="1"/>
    <col min="7171" max="7171" width="11.28515625" style="1181" bestFit="1" customWidth="1"/>
    <col min="7172" max="7172" width="11.42578125" style="1181" bestFit="1" customWidth="1"/>
    <col min="7173" max="7173" width="11.85546875" style="1181" customWidth="1"/>
    <col min="7174" max="7174" width="10" style="1181" customWidth="1"/>
    <col min="7175" max="7175" width="11.140625" style="1181" customWidth="1"/>
    <col min="7176" max="7176" width="10.28515625" style="1181" bestFit="1" customWidth="1"/>
    <col min="7177" max="7177" width="10.140625" style="1181" bestFit="1" customWidth="1"/>
    <col min="7178" max="7178" width="12" style="1181" bestFit="1" customWidth="1"/>
    <col min="7179" max="7179" width="14.28515625" style="1181" bestFit="1" customWidth="1"/>
    <col min="7180" max="7180" width="13.5703125" style="1181" bestFit="1" customWidth="1"/>
    <col min="7181" max="7181" width="13.85546875" style="1181" bestFit="1" customWidth="1"/>
    <col min="7182" max="7424" width="9.140625" style="1181"/>
    <col min="7425" max="7425" width="4.42578125" style="1181" customWidth="1"/>
    <col min="7426" max="7426" width="46.85546875" style="1181" customWidth="1"/>
    <col min="7427" max="7427" width="11.28515625" style="1181" bestFit="1" customWidth="1"/>
    <col min="7428" max="7428" width="11.42578125" style="1181" bestFit="1" customWidth="1"/>
    <col min="7429" max="7429" width="11.85546875" style="1181" customWidth="1"/>
    <col min="7430" max="7430" width="10" style="1181" customWidth="1"/>
    <col min="7431" max="7431" width="11.140625" style="1181" customWidth="1"/>
    <col min="7432" max="7432" width="10.28515625" style="1181" bestFit="1" customWidth="1"/>
    <col min="7433" max="7433" width="10.140625" style="1181" bestFit="1" customWidth="1"/>
    <col min="7434" max="7434" width="12" style="1181" bestFit="1" customWidth="1"/>
    <col min="7435" max="7435" width="14.28515625" style="1181" bestFit="1" customWidth="1"/>
    <col min="7436" max="7436" width="13.5703125" style="1181" bestFit="1" customWidth="1"/>
    <col min="7437" max="7437" width="13.85546875" style="1181" bestFit="1" customWidth="1"/>
    <col min="7438" max="7680" width="9.140625" style="1181"/>
    <col min="7681" max="7681" width="4.42578125" style="1181" customWidth="1"/>
    <col min="7682" max="7682" width="46.85546875" style="1181" customWidth="1"/>
    <col min="7683" max="7683" width="11.28515625" style="1181" bestFit="1" customWidth="1"/>
    <col min="7684" max="7684" width="11.42578125" style="1181" bestFit="1" customWidth="1"/>
    <col min="7685" max="7685" width="11.85546875" style="1181" customWidth="1"/>
    <col min="7686" max="7686" width="10" style="1181" customWidth="1"/>
    <col min="7687" max="7687" width="11.140625" style="1181" customWidth="1"/>
    <col min="7688" max="7688" width="10.28515625" style="1181" bestFit="1" customWidth="1"/>
    <col min="7689" max="7689" width="10.140625" style="1181" bestFit="1" customWidth="1"/>
    <col min="7690" max="7690" width="12" style="1181" bestFit="1" customWidth="1"/>
    <col min="7691" max="7691" width="14.28515625" style="1181" bestFit="1" customWidth="1"/>
    <col min="7692" max="7692" width="13.5703125" style="1181" bestFit="1" customWidth="1"/>
    <col min="7693" max="7693" width="13.85546875" style="1181" bestFit="1" customWidth="1"/>
    <col min="7694" max="7936" width="9.140625" style="1181"/>
    <col min="7937" max="7937" width="4.42578125" style="1181" customWidth="1"/>
    <col min="7938" max="7938" width="46.85546875" style="1181" customWidth="1"/>
    <col min="7939" max="7939" width="11.28515625" style="1181" bestFit="1" customWidth="1"/>
    <col min="7940" max="7940" width="11.42578125" style="1181" bestFit="1" customWidth="1"/>
    <col min="7941" max="7941" width="11.85546875" style="1181" customWidth="1"/>
    <col min="7942" max="7942" width="10" style="1181" customWidth="1"/>
    <col min="7943" max="7943" width="11.140625" style="1181" customWidth="1"/>
    <col min="7944" max="7944" width="10.28515625" style="1181" bestFit="1" customWidth="1"/>
    <col min="7945" max="7945" width="10.140625" style="1181" bestFit="1" customWidth="1"/>
    <col min="7946" max="7946" width="12" style="1181" bestFit="1" customWidth="1"/>
    <col min="7947" max="7947" width="14.28515625" style="1181" bestFit="1" customWidth="1"/>
    <col min="7948" max="7948" width="13.5703125" style="1181" bestFit="1" customWidth="1"/>
    <col min="7949" max="7949" width="13.85546875" style="1181" bestFit="1" customWidth="1"/>
    <col min="7950" max="8192" width="9.140625" style="1181"/>
    <col min="8193" max="8193" width="4.42578125" style="1181" customWidth="1"/>
    <col min="8194" max="8194" width="46.85546875" style="1181" customWidth="1"/>
    <col min="8195" max="8195" width="11.28515625" style="1181" bestFit="1" customWidth="1"/>
    <col min="8196" max="8196" width="11.42578125" style="1181" bestFit="1" customWidth="1"/>
    <col min="8197" max="8197" width="11.85546875" style="1181" customWidth="1"/>
    <col min="8198" max="8198" width="10" style="1181" customWidth="1"/>
    <col min="8199" max="8199" width="11.140625" style="1181" customWidth="1"/>
    <col min="8200" max="8200" width="10.28515625" style="1181" bestFit="1" customWidth="1"/>
    <col min="8201" max="8201" width="10.140625" style="1181" bestFit="1" customWidth="1"/>
    <col min="8202" max="8202" width="12" style="1181" bestFit="1" customWidth="1"/>
    <col min="8203" max="8203" width="14.28515625" style="1181" bestFit="1" customWidth="1"/>
    <col min="8204" max="8204" width="13.5703125" style="1181" bestFit="1" customWidth="1"/>
    <col min="8205" max="8205" width="13.85546875" style="1181" bestFit="1" customWidth="1"/>
    <col min="8206" max="8448" width="9.140625" style="1181"/>
    <col min="8449" max="8449" width="4.42578125" style="1181" customWidth="1"/>
    <col min="8450" max="8450" width="46.85546875" style="1181" customWidth="1"/>
    <col min="8451" max="8451" width="11.28515625" style="1181" bestFit="1" customWidth="1"/>
    <col min="8452" max="8452" width="11.42578125" style="1181" bestFit="1" customWidth="1"/>
    <col min="8453" max="8453" width="11.85546875" style="1181" customWidth="1"/>
    <col min="8454" max="8454" width="10" style="1181" customWidth="1"/>
    <col min="8455" max="8455" width="11.140625" style="1181" customWidth="1"/>
    <col min="8456" max="8456" width="10.28515625" style="1181" bestFit="1" customWidth="1"/>
    <col min="8457" max="8457" width="10.140625" style="1181" bestFit="1" customWidth="1"/>
    <col min="8458" max="8458" width="12" style="1181" bestFit="1" customWidth="1"/>
    <col min="8459" max="8459" width="14.28515625" style="1181" bestFit="1" customWidth="1"/>
    <col min="8460" max="8460" width="13.5703125" style="1181" bestFit="1" customWidth="1"/>
    <col min="8461" max="8461" width="13.85546875" style="1181" bestFit="1" customWidth="1"/>
    <col min="8462" max="8704" width="9.140625" style="1181"/>
    <col min="8705" max="8705" width="4.42578125" style="1181" customWidth="1"/>
    <col min="8706" max="8706" width="46.85546875" style="1181" customWidth="1"/>
    <col min="8707" max="8707" width="11.28515625" style="1181" bestFit="1" customWidth="1"/>
    <col min="8708" max="8708" width="11.42578125" style="1181" bestFit="1" customWidth="1"/>
    <col min="8709" max="8709" width="11.85546875" style="1181" customWidth="1"/>
    <col min="8710" max="8710" width="10" style="1181" customWidth="1"/>
    <col min="8711" max="8711" width="11.140625" style="1181" customWidth="1"/>
    <col min="8712" max="8712" width="10.28515625" style="1181" bestFit="1" customWidth="1"/>
    <col min="8713" max="8713" width="10.140625" style="1181" bestFit="1" customWidth="1"/>
    <col min="8714" max="8714" width="12" style="1181" bestFit="1" customWidth="1"/>
    <col min="8715" max="8715" width="14.28515625" style="1181" bestFit="1" customWidth="1"/>
    <col min="8716" max="8716" width="13.5703125" style="1181" bestFit="1" customWidth="1"/>
    <col min="8717" max="8717" width="13.85546875" style="1181" bestFit="1" customWidth="1"/>
    <col min="8718" max="8960" width="9.140625" style="1181"/>
    <col min="8961" max="8961" width="4.42578125" style="1181" customWidth="1"/>
    <col min="8962" max="8962" width="46.85546875" style="1181" customWidth="1"/>
    <col min="8963" max="8963" width="11.28515625" style="1181" bestFit="1" customWidth="1"/>
    <col min="8964" max="8964" width="11.42578125" style="1181" bestFit="1" customWidth="1"/>
    <col min="8965" max="8965" width="11.85546875" style="1181" customWidth="1"/>
    <col min="8966" max="8966" width="10" style="1181" customWidth="1"/>
    <col min="8967" max="8967" width="11.140625" style="1181" customWidth="1"/>
    <col min="8968" max="8968" width="10.28515625" style="1181" bestFit="1" customWidth="1"/>
    <col min="8969" max="8969" width="10.140625" style="1181" bestFit="1" customWidth="1"/>
    <col min="8970" max="8970" width="12" style="1181" bestFit="1" customWidth="1"/>
    <col min="8971" max="8971" width="14.28515625" style="1181" bestFit="1" customWidth="1"/>
    <col min="8972" max="8972" width="13.5703125" style="1181" bestFit="1" customWidth="1"/>
    <col min="8973" max="8973" width="13.85546875" style="1181" bestFit="1" customWidth="1"/>
    <col min="8974" max="9216" width="9.140625" style="1181"/>
    <col min="9217" max="9217" width="4.42578125" style="1181" customWidth="1"/>
    <col min="9218" max="9218" width="46.85546875" style="1181" customWidth="1"/>
    <col min="9219" max="9219" width="11.28515625" style="1181" bestFit="1" customWidth="1"/>
    <col min="9220" max="9220" width="11.42578125" style="1181" bestFit="1" customWidth="1"/>
    <col min="9221" max="9221" width="11.85546875" style="1181" customWidth="1"/>
    <col min="9222" max="9222" width="10" style="1181" customWidth="1"/>
    <col min="9223" max="9223" width="11.140625" style="1181" customWidth="1"/>
    <col min="9224" max="9224" width="10.28515625" style="1181" bestFit="1" customWidth="1"/>
    <col min="9225" max="9225" width="10.140625" style="1181" bestFit="1" customWidth="1"/>
    <col min="9226" max="9226" width="12" style="1181" bestFit="1" customWidth="1"/>
    <col min="9227" max="9227" width="14.28515625" style="1181" bestFit="1" customWidth="1"/>
    <col min="9228" max="9228" width="13.5703125" style="1181" bestFit="1" customWidth="1"/>
    <col min="9229" max="9229" width="13.85546875" style="1181" bestFit="1" customWidth="1"/>
    <col min="9230" max="9472" width="9.140625" style="1181"/>
    <col min="9473" max="9473" width="4.42578125" style="1181" customWidth="1"/>
    <col min="9474" max="9474" width="46.85546875" style="1181" customWidth="1"/>
    <col min="9475" max="9475" width="11.28515625" style="1181" bestFit="1" customWidth="1"/>
    <col min="9476" max="9476" width="11.42578125" style="1181" bestFit="1" customWidth="1"/>
    <col min="9477" max="9477" width="11.85546875" style="1181" customWidth="1"/>
    <col min="9478" max="9478" width="10" style="1181" customWidth="1"/>
    <col min="9479" max="9479" width="11.140625" style="1181" customWidth="1"/>
    <col min="9480" max="9480" width="10.28515625" style="1181" bestFit="1" customWidth="1"/>
    <col min="9481" max="9481" width="10.140625" style="1181" bestFit="1" customWidth="1"/>
    <col min="9482" max="9482" width="12" style="1181" bestFit="1" customWidth="1"/>
    <col min="9483" max="9483" width="14.28515625" style="1181" bestFit="1" customWidth="1"/>
    <col min="9484" max="9484" width="13.5703125" style="1181" bestFit="1" customWidth="1"/>
    <col min="9485" max="9485" width="13.85546875" style="1181" bestFit="1" customWidth="1"/>
    <col min="9486" max="9728" width="9.140625" style="1181"/>
    <col min="9729" max="9729" width="4.42578125" style="1181" customWidth="1"/>
    <col min="9730" max="9730" width="46.85546875" style="1181" customWidth="1"/>
    <col min="9731" max="9731" width="11.28515625" style="1181" bestFit="1" customWidth="1"/>
    <col min="9732" max="9732" width="11.42578125" style="1181" bestFit="1" customWidth="1"/>
    <col min="9733" max="9733" width="11.85546875" style="1181" customWidth="1"/>
    <col min="9734" max="9734" width="10" style="1181" customWidth="1"/>
    <col min="9735" max="9735" width="11.140625" style="1181" customWidth="1"/>
    <col min="9736" max="9736" width="10.28515625" style="1181" bestFit="1" customWidth="1"/>
    <col min="9737" max="9737" width="10.140625" style="1181" bestFit="1" customWidth="1"/>
    <col min="9738" max="9738" width="12" style="1181" bestFit="1" customWidth="1"/>
    <col min="9739" max="9739" width="14.28515625" style="1181" bestFit="1" customWidth="1"/>
    <col min="9740" max="9740" width="13.5703125" style="1181" bestFit="1" customWidth="1"/>
    <col min="9741" max="9741" width="13.85546875" style="1181" bestFit="1" customWidth="1"/>
    <col min="9742" max="9984" width="9.140625" style="1181"/>
    <col min="9985" max="9985" width="4.42578125" style="1181" customWidth="1"/>
    <col min="9986" max="9986" width="46.85546875" style="1181" customWidth="1"/>
    <col min="9987" max="9987" width="11.28515625" style="1181" bestFit="1" customWidth="1"/>
    <col min="9988" max="9988" width="11.42578125" style="1181" bestFit="1" customWidth="1"/>
    <col min="9989" max="9989" width="11.85546875" style="1181" customWidth="1"/>
    <col min="9990" max="9990" width="10" style="1181" customWidth="1"/>
    <col min="9991" max="9991" width="11.140625" style="1181" customWidth="1"/>
    <col min="9992" max="9992" width="10.28515625" style="1181" bestFit="1" customWidth="1"/>
    <col min="9993" max="9993" width="10.140625" style="1181" bestFit="1" customWidth="1"/>
    <col min="9994" max="9994" width="12" style="1181" bestFit="1" customWidth="1"/>
    <col min="9995" max="9995" width="14.28515625" style="1181" bestFit="1" customWidth="1"/>
    <col min="9996" max="9996" width="13.5703125" style="1181" bestFit="1" customWidth="1"/>
    <col min="9997" max="9997" width="13.85546875" style="1181" bestFit="1" customWidth="1"/>
    <col min="9998" max="10240" width="9.140625" style="1181"/>
    <col min="10241" max="10241" width="4.42578125" style="1181" customWidth="1"/>
    <col min="10242" max="10242" width="46.85546875" style="1181" customWidth="1"/>
    <col min="10243" max="10243" width="11.28515625" style="1181" bestFit="1" customWidth="1"/>
    <col min="10244" max="10244" width="11.42578125" style="1181" bestFit="1" customWidth="1"/>
    <col min="10245" max="10245" width="11.85546875" style="1181" customWidth="1"/>
    <col min="10246" max="10246" width="10" style="1181" customWidth="1"/>
    <col min="10247" max="10247" width="11.140625" style="1181" customWidth="1"/>
    <col min="10248" max="10248" width="10.28515625" style="1181" bestFit="1" customWidth="1"/>
    <col min="10249" max="10249" width="10.140625" style="1181" bestFit="1" customWidth="1"/>
    <col min="10250" max="10250" width="12" style="1181" bestFit="1" customWidth="1"/>
    <col min="10251" max="10251" width="14.28515625" style="1181" bestFit="1" customWidth="1"/>
    <col min="10252" max="10252" width="13.5703125" style="1181" bestFit="1" customWidth="1"/>
    <col min="10253" max="10253" width="13.85546875" style="1181" bestFit="1" customWidth="1"/>
    <col min="10254" max="10496" width="9.140625" style="1181"/>
    <col min="10497" max="10497" width="4.42578125" style="1181" customWidth="1"/>
    <col min="10498" max="10498" width="46.85546875" style="1181" customWidth="1"/>
    <col min="10499" max="10499" width="11.28515625" style="1181" bestFit="1" customWidth="1"/>
    <col min="10500" max="10500" width="11.42578125" style="1181" bestFit="1" customWidth="1"/>
    <col min="10501" max="10501" width="11.85546875" style="1181" customWidth="1"/>
    <col min="10502" max="10502" width="10" style="1181" customWidth="1"/>
    <col min="10503" max="10503" width="11.140625" style="1181" customWidth="1"/>
    <col min="10504" max="10504" width="10.28515625" style="1181" bestFit="1" customWidth="1"/>
    <col min="10505" max="10505" width="10.140625" style="1181" bestFit="1" customWidth="1"/>
    <col min="10506" max="10506" width="12" style="1181" bestFit="1" customWidth="1"/>
    <col min="10507" max="10507" width="14.28515625" style="1181" bestFit="1" customWidth="1"/>
    <col min="10508" max="10508" width="13.5703125" style="1181" bestFit="1" customWidth="1"/>
    <col min="10509" max="10509" width="13.85546875" style="1181" bestFit="1" customWidth="1"/>
    <col min="10510" max="10752" width="9.140625" style="1181"/>
    <col min="10753" max="10753" width="4.42578125" style="1181" customWidth="1"/>
    <col min="10754" max="10754" width="46.85546875" style="1181" customWidth="1"/>
    <col min="10755" max="10755" width="11.28515625" style="1181" bestFit="1" customWidth="1"/>
    <col min="10756" max="10756" width="11.42578125" style="1181" bestFit="1" customWidth="1"/>
    <col min="10757" max="10757" width="11.85546875" style="1181" customWidth="1"/>
    <col min="10758" max="10758" width="10" style="1181" customWidth="1"/>
    <col min="10759" max="10759" width="11.140625" style="1181" customWidth="1"/>
    <col min="10760" max="10760" width="10.28515625" style="1181" bestFit="1" customWidth="1"/>
    <col min="10761" max="10761" width="10.140625" style="1181" bestFit="1" customWidth="1"/>
    <col min="10762" max="10762" width="12" style="1181" bestFit="1" customWidth="1"/>
    <col min="10763" max="10763" width="14.28515625" style="1181" bestFit="1" customWidth="1"/>
    <col min="10764" max="10764" width="13.5703125" style="1181" bestFit="1" customWidth="1"/>
    <col min="10765" max="10765" width="13.85546875" style="1181" bestFit="1" customWidth="1"/>
    <col min="10766" max="11008" width="9.140625" style="1181"/>
    <col min="11009" max="11009" width="4.42578125" style="1181" customWidth="1"/>
    <col min="11010" max="11010" width="46.85546875" style="1181" customWidth="1"/>
    <col min="11011" max="11011" width="11.28515625" style="1181" bestFit="1" customWidth="1"/>
    <col min="11012" max="11012" width="11.42578125" style="1181" bestFit="1" customWidth="1"/>
    <col min="11013" max="11013" width="11.85546875" style="1181" customWidth="1"/>
    <col min="11014" max="11014" width="10" style="1181" customWidth="1"/>
    <col min="11015" max="11015" width="11.140625" style="1181" customWidth="1"/>
    <col min="11016" max="11016" width="10.28515625" style="1181" bestFit="1" customWidth="1"/>
    <col min="11017" max="11017" width="10.140625" style="1181" bestFit="1" customWidth="1"/>
    <col min="11018" max="11018" width="12" style="1181" bestFit="1" customWidth="1"/>
    <col min="11019" max="11019" width="14.28515625" style="1181" bestFit="1" customWidth="1"/>
    <col min="11020" max="11020" width="13.5703125" style="1181" bestFit="1" customWidth="1"/>
    <col min="11021" max="11021" width="13.85546875" style="1181" bestFit="1" customWidth="1"/>
    <col min="11022" max="11264" width="9.140625" style="1181"/>
    <col min="11265" max="11265" width="4.42578125" style="1181" customWidth="1"/>
    <col min="11266" max="11266" width="46.85546875" style="1181" customWidth="1"/>
    <col min="11267" max="11267" width="11.28515625" style="1181" bestFit="1" customWidth="1"/>
    <col min="11268" max="11268" width="11.42578125" style="1181" bestFit="1" customWidth="1"/>
    <col min="11269" max="11269" width="11.85546875" style="1181" customWidth="1"/>
    <col min="11270" max="11270" width="10" style="1181" customWidth="1"/>
    <col min="11271" max="11271" width="11.140625" style="1181" customWidth="1"/>
    <col min="11272" max="11272" width="10.28515625" style="1181" bestFit="1" customWidth="1"/>
    <col min="11273" max="11273" width="10.140625" style="1181" bestFit="1" customWidth="1"/>
    <col min="11274" max="11274" width="12" style="1181" bestFit="1" customWidth="1"/>
    <col min="11275" max="11275" width="14.28515625" style="1181" bestFit="1" customWidth="1"/>
    <col min="11276" max="11276" width="13.5703125" style="1181" bestFit="1" customWidth="1"/>
    <col min="11277" max="11277" width="13.85546875" style="1181" bestFit="1" customWidth="1"/>
    <col min="11278" max="11520" width="9.140625" style="1181"/>
    <col min="11521" max="11521" width="4.42578125" style="1181" customWidth="1"/>
    <col min="11522" max="11522" width="46.85546875" style="1181" customWidth="1"/>
    <col min="11523" max="11523" width="11.28515625" style="1181" bestFit="1" customWidth="1"/>
    <col min="11524" max="11524" width="11.42578125" style="1181" bestFit="1" customWidth="1"/>
    <col min="11525" max="11525" width="11.85546875" style="1181" customWidth="1"/>
    <col min="11526" max="11526" width="10" style="1181" customWidth="1"/>
    <col min="11527" max="11527" width="11.140625" style="1181" customWidth="1"/>
    <col min="11528" max="11528" width="10.28515625" style="1181" bestFit="1" customWidth="1"/>
    <col min="11529" max="11529" width="10.140625" style="1181" bestFit="1" customWidth="1"/>
    <col min="11530" max="11530" width="12" style="1181" bestFit="1" customWidth="1"/>
    <col min="11531" max="11531" width="14.28515625" style="1181" bestFit="1" customWidth="1"/>
    <col min="11532" max="11532" width="13.5703125" style="1181" bestFit="1" customWidth="1"/>
    <col min="11533" max="11533" width="13.85546875" style="1181" bestFit="1" customWidth="1"/>
    <col min="11534" max="11776" width="9.140625" style="1181"/>
    <col min="11777" max="11777" width="4.42578125" style="1181" customWidth="1"/>
    <col min="11778" max="11778" width="46.85546875" style="1181" customWidth="1"/>
    <col min="11779" max="11779" width="11.28515625" style="1181" bestFit="1" customWidth="1"/>
    <col min="11780" max="11780" width="11.42578125" style="1181" bestFit="1" customWidth="1"/>
    <col min="11781" max="11781" width="11.85546875" style="1181" customWidth="1"/>
    <col min="11782" max="11782" width="10" style="1181" customWidth="1"/>
    <col min="11783" max="11783" width="11.140625" style="1181" customWidth="1"/>
    <col min="11784" max="11784" width="10.28515625" style="1181" bestFit="1" customWidth="1"/>
    <col min="11785" max="11785" width="10.140625" style="1181" bestFit="1" customWidth="1"/>
    <col min="11786" max="11786" width="12" style="1181" bestFit="1" customWidth="1"/>
    <col min="11787" max="11787" width="14.28515625" style="1181" bestFit="1" customWidth="1"/>
    <col min="11788" max="11788" width="13.5703125" style="1181" bestFit="1" customWidth="1"/>
    <col min="11789" max="11789" width="13.85546875" style="1181" bestFit="1" customWidth="1"/>
    <col min="11790" max="12032" width="9.140625" style="1181"/>
    <col min="12033" max="12033" width="4.42578125" style="1181" customWidth="1"/>
    <col min="12034" max="12034" width="46.85546875" style="1181" customWidth="1"/>
    <col min="12035" max="12035" width="11.28515625" style="1181" bestFit="1" customWidth="1"/>
    <col min="12036" max="12036" width="11.42578125" style="1181" bestFit="1" customWidth="1"/>
    <col min="12037" max="12037" width="11.85546875" style="1181" customWidth="1"/>
    <col min="12038" max="12038" width="10" style="1181" customWidth="1"/>
    <col min="12039" max="12039" width="11.140625" style="1181" customWidth="1"/>
    <col min="12040" max="12040" width="10.28515625" style="1181" bestFit="1" customWidth="1"/>
    <col min="12041" max="12041" width="10.140625" style="1181" bestFit="1" customWidth="1"/>
    <col min="12042" max="12042" width="12" style="1181" bestFit="1" customWidth="1"/>
    <col min="12043" max="12043" width="14.28515625" style="1181" bestFit="1" customWidth="1"/>
    <col min="12044" max="12044" width="13.5703125" style="1181" bestFit="1" customWidth="1"/>
    <col min="12045" max="12045" width="13.85546875" style="1181" bestFit="1" customWidth="1"/>
    <col min="12046" max="12288" width="9.140625" style="1181"/>
    <col min="12289" max="12289" width="4.42578125" style="1181" customWidth="1"/>
    <col min="12290" max="12290" width="46.85546875" style="1181" customWidth="1"/>
    <col min="12291" max="12291" width="11.28515625" style="1181" bestFit="1" customWidth="1"/>
    <col min="12292" max="12292" width="11.42578125" style="1181" bestFit="1" customWidth="1"/>
    <col min="12293" max="12293" width="11.85546875" style="1181" customWidth="1"/>
    <col min="12294" max="12294" width="10" style="1181" customWidth="1"/>
    <col min="12295" max="12295" width="11.140625" style="1181" customWidth="1"/>
    <col min="12296" max="12296" width="10.28515625" style="1181" bestFit="1" customWidth="1"/>
    <col min="12297" max="12297" width="10.140625" style="1181" bestFit="1" customWidth="1"/>
    <col min="12298" max="12298" width="12" style="1181" bestFit="1" customWidth="1"/>
    <col min="12299" max="12299" width="14.28515625" style="1181" bestFit="1" customWidth="1"/>
    <col min="12300" max="12300" width="13.5703125" style="1181" bestFit="1" customWidth="1"/>
    <col min="12301" max="12301" width="13.85546875" style="1181" bestFit="1" customWidth="1"/>
    <col min="12302" max="12544" width="9.140625" style="1181"/>
    <col min="12545" max="12545" width="4.42578125" style="1181" customWidth="1"/>
    <col min="12546" max="12546" width="46.85546875" style="1181" customWidth="1"/>
    <col min="12547" max="12547" width="11.28515625" style="1181" bestFit="1" customWidth="1"/>
    <col min="12548" max="12548" width="11.42578125" style="1181" bestFit="1" customWidth="1"/>
    <col min="12549" max="12549" width="11.85546875" style="1181" customWidth="1"/>
    <col min="12550" max="12550" width="10" style="1181" customWidth="1"/>
    <col min="12551" max="12551" width="11.140625" style="1181" customWidth="1"/>
    <col min="12552" max="12552" width="10.28515625" style="1181" bestFit="1" customWidth="1"/>
    <col min="12553" max="12553" width="10.140625" style="1181" bestFit="1" customWidth="1"/>
    <col min="12554" max="12554" width="12" style="1181" bestFit="1" customWidth="1"/>
    <col min="12555" max="12555" width="14.28515625" style="1181" bestFit="1" customWidth="1"/>
    <col min="12556" max="12556" width="13.5703125" style="1181" bestFit="1" customWidth="1"/>
    <col min="12557" max="12557" width="13.85546875" style="1181" bestFit="1" customWidth="1"/>
    <col min="12558" max="12800" width="9.140625" style="1181"/>
    <col min="12801" max="12801" width="4.42578125" style="1181" customWidth="1"/>
    <col min="12802" max="12802" width="46.85546875" style="1181" customWidth="1"/>
    <col min="12803" max="12803" width="11.28515625" style="1181" bestFit="1" customWidth="1"/>
    <col min="12804" max="12804" width="11.42578125" style="1181" bestFit="1" customWidth="1"/>
    <col min="12805" max="12805" width="11.85546875" style="1181" customWidth="1"/>
    <col min="12806" max="12806" width="10" style="1181" customWidth="1"/>
    <col min="12807" max="12807" width="11.140625" style="1181" customWidth="1"/>
    <col min="12808" max="12808" width="10.28515625" style="1181" bestFit="1" customWidth="1"/>
    <col min="12809" max="12809" width="10.140625" style="1181" bestFit="1" customWidth="1"/>
    <col min="12810" max="12810" width="12" style="1181" bestFit="1" customWidth="1"/>
    <col min="12811" max="12811" width="14.28515625" style="1181" bestFit="1" customWidth="1"/>
    <col min="12812" max="12812" width="13.5703125" style="1181" bestFit="1" customWidth="1"/>
    <col min="12813" max="12813" width="13.85546875" style="1181" bestFit="1" customWidth="1"/>
    <col min="12814" max="13056" width="9.140625" style="1181"/>
    <col min="13057" max="13057" width="4.42578125" style="1181" customWidth="1"/>
    <col min="13058" max="13058" width="46.85546875" style="1181" customWidth="1"/>
    <col min="13059" max="13059" width="11.28515625" style="1181" bestFit="1" customWidth="1"/>
    <col min="13060" max="13060" width="11.42578125" style="1181" bestFit="1" customWidth="1"/>
    <col min="13061" max="13061" width="11.85546875" style="1181" customWidth="1"/>
    <col min="13062" max="13062" width="10" style="1181" customWidth="1"/>
    <col min="13063" max="13063" width="11.140625" style="1181" customWidth="1"/>
    <col min="13064" max="13064" width="10.28515625" style="1181" bestFit="1" customWidth="1"/>
    <col min="13065" max="13065" width="10.140625" style="1181" bestFit="1" customWidth="1"/>
    <col min="13066" max="13066" width="12" style="1181" bestFit="1" customWidth="1"/>
    <col min="13067" max="13067" width="14.28515625" style="1181" bestFit="1" customWidth="1"/>
    <col min="13068" max="13068" width="13.5703125" style="1181" bestFit="1" customWidth="1"/>
    <col min="13069" max="13069" width="13.85546875" style="1181" bestFit="1" customWidth="1"/>
    <col min="13070" max="13312" width="9.140625" style="1181"/>
    <col min="13313" max="13313" width="4.42578125" style="1181" customWidth="1"/>
    <col min="13314" max="13314" width="46.85546875" style="1181" customWidth="1"/>
    <col min="13315" max="13315" width="11.28515625" style="1181" bestFit="1" customWidth="1"/>
    <col min="13316" max="13316" width="11.42578125" style="1181" bestFit="1" customWidth="1"/>
    <col min="13317" max="13317" width="11.85546875" style="1181" customWidth="1"/>
    <col min="13318" max="13318" width="10" style="1181" customWidth="1"/>
    <col min="13319" max="13319" width="11.140625" style="1181" customWidth="1"/>
    <col min="13320" max="13320" width="10.28515625" style="1181" bestFit="1" customWidth="1"/>
    <col min="13321" max="13321" width="10.140625" style="1181" bestFit="1" customWidth="1"/>
    <col min="13322" max="13322" width="12" style="1181" bestFit="1" customWidth="1"/>
    <col min="13323" max="13323" width="14.28515625" style="1181" bestFit="1" customWidth="1"/>
    <col min="13324" max="13324" width="13.5703125" style="1181" bestFit="1" customWidth="1"/>
    <col min="13325" max="13325" width="13.85546875" style="1181" bestFit="1" customWidth="1"/>
    <col min="13326" max="13568" width="9.140625" style="1181"/>
    <col min="13569" max="13569" width="4.42578125" style="1181" customWidth="1"/>
    <col min="13570" max="13570" width="46.85546875" style="1181" customWidth="1"/>
    <col min="13571" max="13571" width="11.28515625" style="1181" bestFit="1" customWidth="1"/>
    <col min="13572" max="13572" width="11.42578125" style="1181" bestFit="1" customWidth="1"/>
    <col min="13573" max="13573" width="11.85546875" style="1181" customWidth="1"/>
    <col min="13574" max="13574" width="10" style="1181" customWidth="1"/>
    <col min="13575" max="13575" width="11.140625" style="1181" customWidth="1"/>
    <col min="13576" max="13576" width="10.28515625" style="1181" bestFit="1" customWidth="1"/>
    <col min="13577" max="13577" width="10.140625" style="1181" bestFit="1" customWidth="1"/>
    <col min="13578" max="13578" width="12" style="1181" bestFit="1" customWidth="1"/>
    <col min="13579" max="13579" width="14.28515625" style="1181" bestFit="1" customWidth="1"/>
    <col min="13580" max="13580" width="13.5703125" style="1181" bestFit="1" customWidth="1"/>
    <col min="13581" max="13581" width="13.85546875" style="1181" bestFit="1" customWidth="1"/>
    <col min="13582" max="13824" width="9.140625" style="1181"/>
    <col min="13825" max="13825" width="4.42578125" style="1181" customWidth="1"/>
    <col min="13826" max="13826" width="46.85546875" style="1181" customWidth="1"/>
    <col min="13827" max="13827" width="11.28515625" style="1181" bestFit="1" customWidth="1"/>
    <col min="13828" max="13828" width="11.42578125" style="1181" bestFit="1" customWidth="1"/>
    <col min="13829" max="13829" width="11.85546875" style="1181" customWidth="1"/>
    <col min="13830" max="13830" width="10" style="1181" customWidth="1"/>
    <col min="13831" max="13831" width="11.140625" style="1181" customWidth="1"/>
    <col min="13832" max="13832" width="10.28515625" style="1181" bestFit="1" customWidth="1"/>
    <col min="13833" max="13833" width="10.140625" style="1181" bestFit="1" customWidth="1"/>
    <col min="13834" max="13834" width="12" style="1181" bestFit="1" customWidth="1"/>
    <col min="13835" max="13835" width="14.28515625" style="1181" bestFit="1" customWidth="1"/>
    <col min="13836" max="13836" width="13.5703125" style="1181" bestFit="1" customWidth="1"/>
    <col min="13837" max="13837" width="13.85546875" style="1181" bestFit="1" customWidth="1"/>
    <col min="13838" max="14080" width="9.140625" style="1181"/>
    <col min="14081" max="14081" width="4.42578125" style="1181" customWidth="1"/>
    <col min="14082" max="14082" width="46.85546875" style="1181" customWidth="1"/>
    <col min="14083" max="14083" width="11.28515625" style="1181" bestFit="1" customWidth="1"/>
    <col min="14084" max="14084" width="11.42578125" style="1181" bestFit="1" customWidth="1"/>
    <col min="14085" max="14085" width="11.85546875" style="1181" customWidth="1"/>
    <col min="14086" max="14086" width="10" style="1181" customWidth="1"/>
    <col min="14087" max="14087" width="11.140625" style="1181" customWidth="1"/>
    <col min="14088" max="14088" width="10.28515625" style="1181" bestFit="1" customWidth="1"/>
    <col min="14089" max="14089" width="10.140625" style="1181" bestFit="1" customWidth="1"/>
    <col min="14090" max="14090" width="12" style="1181" bestFit="1" customWidth="1"/>
    <col min="14091" max="14091" width="14.28515625" style="1181" bestFit="1" customWidth="1"/>
    <col min="14092" max="14092" width="13.5703125" style="1181" bestFit="1" customWidth="1"/>
    <col min="14093" max="14093" width="13.85546875" style="1181" bestFit="1" customWidth="1"/>
    <col min="14094" max="14336" width="9.140625" style="1181"/>
    <col min="14337" max="14337" width="4.42578125" style="1181" customWidth="1"/>
    <col min="14338" max="14338" width="46.85546875" style="1181" customWidth="1"/>
    <col min="14339" max="14339" width="11.28515625" style="1181" bestFit="1" customWidth="1"/>
    <col min="14340" max="14340" width="11.42578125" style="1181" bestFit="1" customWidth="1"/>
    <col min="14341" max="14341" width="11.85546875" style="1181" customWidth="1"/>
    <col min="14342" max="14342" width="10" style="1181" customWidth="1"/>
    <col min="14343" max="14343" width="11.140625" style="1181" customWidth="1"/>
    <col min="14344" max="14344" width="10.28515625" style="1181" bestFit="1" customWidth="1"/>
    <col min="14345" max="14345" width="10.140625" style="1181" bestFit="1" customWidth="1"/>
    <col min="14346" max="14346" width="12" style="1181" bestFit="1" customWidth="1"/>
    <col min="14347" max="14347" width="14.28515625" style="1181" bestFit="1" customWidth="1"/>
    <col min="14348" max="14348" width="13.5703125" style="1181" bestFit="1" customWidth="1"/>
    <col min="14349" max="14349" width="13.85546875" style="1181" bestFit="1" customWidth="1"/>
    <col min="14350" max="14592" width="9.140625" style="1181"/>
    <col min="14593" max="14593" width="4.42578125" style="1181" customWidth="1"/>
    <col min="14594" max="14594" width="46.85546875" style="1181" customWidth="1"/>
    <col min="14595" max="14595" width="11.28515625" style="1181" bestFit="1" customWidth="1"/>
    <col min="14596" max="14596" width="11.42578125" style="1181" bestFit="1" customWidth="1"/>
    <col min="14597" max="14597" width="11.85546875" style="1181" customWidth="1"/>
    <col min="14598" max="14598" width="10" style="1181" customWidth="1"/>
    <col min="14599" max="14599" width="11.140625" style="1181" customWidth="1"/>
    <col min="14600" max="14600" width="10.28515625" style="1181" bestFit="1" customWidth="1"/>
    <col min="14601" max="14601" width="10.140625" style="1181" bestFit="1" customWidth="1"/>
    <col min="14602" max="14602" width="12" style="1181" bestFit="1" customWidth="1"/>
    <col min="14603" max="14603" width="14.28515625" style="1181" bestFit="1" customWidth="1"/>
    <col min="14604" max="14604" width="13.5703125" style="1181" bestFit="1" customWidth="1"/>
    <col min="14605" max="14605" width="13.85546875" style="1181" bestFit="1" customWidth="1"/>
    <col min="14606" max="14848" width="9.140625" style="1181"/>
    <col min="14849" max="14849" width="4.42578125" style="1181" customWidth="1"/>
    <col min="14850" max="14850" width="46.85546875" style="1181" customWidth="1"/>
    <col min="14851" max="14851" width="11.28515625" style="1181" bestFit="1" customWidth="1"/>
    <col min="14852" max="14852" width="11.42578125" style="1181" bestFit="1" customWidth="1"/>
    <col min="14853" max="14853" width="11.85546875" style="1181" customWidth="1"/>
    <col min="14854" max="14854" width="10" style="1181" customWidth="1"/>
    <col min="14855" max="14855" width="11.140625" style="1181" customWidth="1"/>
    <col min="14856" max="14856" width="10.28515625" style="1181" bestFit="1" customWidth="1"/>
    <col min="14857" max="14857" width="10.140625" style="1181" bestFit="1" customWidth="1"/>
    <col min="14858" max="14858" width="12" style="1181" bestFit="1" customWidth="1"/>
    <col min="14859" max="14859" width="14.28515625" style="1181" bestFit="1" customWidth="1"/>
    <col min="14860" max="14860" width="13.5703125" style="1181" bestFit="1" customWidth="1"/>
    <col min="14861" max="14861" width="13.85546875" style="1181" bestFit="1" customWidth="1"/>
    <col min="14862" max="15104" width="9.140625" style="1181"/>
    <col min="15105" max="15105" width="4.42578125" style="1181" customWidth="1"/>
    <col min="15106" max="15106" width="46.85546875" style="1181" customWidth="1"/>
    <col min="15107" max="15107" width="11.28515625" style="1181" bestFit="1" customWidth="1"/>
    <col min="15108" max="15108" width="11.42578125" style="1181" bestFit="1" customWidth="1"/>
    <col min="15109" max="15109" width="11.85546875" style="1181" customWidth="1"/>
    <col min="15110" max="15110" width="10" style="1181" customWidth="1"/>
    <col min="15111" max="15111" width="11.140625" style="1181" customWidth="1"/>
    <col min="15112" max="15112" width="10.28515625" style="1181" bestFit="1" customWidth="1"/>
    <col min="15113" max="15113" width="10.140625" style="1181" bestFit="1" customWidth="1"/>
    <col min="15114" max="15114" width="12" style="1181" bestFit="1" customWidth="1"/>
    <col min="15115" max="15115" width="14.28515625" style="1181" bestFit="1" customWidth="1"/>
    <col min="15116" max="15116" width="13.5703125" style="1181" bestFit="1" customWidth="1"/>
    <col min="15117" max="15117" width="13.85546875" style="1181" bestFit="1" customWidth="1"/>
    <col min="15118" max="15360" width="9.140625" style="1181"/>
    <col min="15361" max="15361" width="4.42578125" style="1181" customWidth="1"/>
    <col min="15362" max="15362" width="46.85546875" style="1181" customWidth="1"/>
    <col min="15363" max="15363" width="11.28515625" style="1181" bestFit="1" customWidth="1"/>
    <col min="15364" max="15364" width="11.42578125" style="1181" bestFit="1" customWidth="1"/>
    <col min="15365" max="15365" width="11.85546875" style="1181" customWidth="1"/>
    <col min="15366" max="15366" width="10" style="1181" customWidth="1"/>
    <col min="15367" max="15367" width="11.140625" style="1181" customWidth="1"/>
    <col min="15368" max="15368" width="10.28515625" style="1181" bestFit="1" customWidth="1"/>
    <col min="15369" max="15369" width="10.140625" style="1181" bestFit="1" customWidth="1"/>
    <col min="15370" max="15370" width="12" style="1181" bestFit="1" customWidth="1"/>
    <col min="15371" max="15371" width="14.28515625" style="1181" bestFit="1" customWidth="1"/>
    <col min="15372" max="15372" width="13.5703125" style="1181" bestFit="1" customWidth="1"/>
    <col min="15373" max="15373" width="13.85546875" style="1181" bestFit="1" customWidth="1"/>
    <col min="15374" max="15616" width="9.140625" style="1181"/>
    <col min="15617" max="15617" width="4.42578125" style="1181" customWidth="1"/>
    <col min="15618" max="15618" width="46.85546875" style="1181" customWidth="1"/>
    <col min="15619" max="15619" width="11.28515625" style="1181" bestFit="1" customWidth="1"/>
    <col min="15620" max="15620" width="11.42578125" style="1181" bestFit="1" customWidth="1"/>
    <col min="15621" max="15621" width="11.85546875" style="1181" customWidth="1"/>
    <col min="15622" max="15622" width="10" style="1181" customWidth="1"/>
    <col min="15623" max="15623" width="11.140625" style="1181" customWidth="1"/>
    <col min="15624" max="15624" width="10.28515625" style="1181" bestFit="1" customWidth="1"/>
    <col min="15625" max="15625" width="10.140625" style="1181" bestFit="1" customWidth="1"/>
    <col min="15626" max="15626" width="12" style="1181" bestFit="1" customWidth="1"/>
    <col min="15627" max="15627" width="14.28515625" style="1181" bestFit="1" customWidth="1"/>
    <col min="15628" max="15628" width="13.5703125" style="1181" bestFit="1" customWidth="1"/>
    <col min="15629" max="15629" width="13.85546875" style="1181" bestFit="1" customWidth="1"/>
    <col min="15630" max="15872" width="9.140625" style="1181"/>
    <col min="15873" max="15873" width="4.42578125" style="1181" customWidth="1"/>
    <col min="15874" max="15874" width="46.85546875" style="1181" customWidth="1"/>
    <col min="15875" max="15875" width="11.28515625" style="1181" bestFit="1" customWidth="1"/>
    <col min="15876" max="15876" width="11.42578125" style="1181" bestFit="1" customWidth="1"/>
    <col min="15877" max="15877" width="11.85546875" style="1181" customWidth="1"/>
    <col min="15878" max="15878" width="10" style="1181" customWidth="1"/>
    <col min="15879" max="15879" width="11.140625" style="1181" customWidth="1"/>
    <col min="15880" max="15880" width="10.28515625" style="1181" bestFit="1" customWidth="1"/>
    <col min="15881" max="15881" width="10.140625" style="1181" bestFit="1" customWidth="1"/>
    <col min="15882" max="15882" width="12" style="1181" bestFit="1" customWidth="1"/>
    <col min="15883" max="15883" width="14.28515625" style="1181" bestFit="1" customWidth="1"/>
    <col min="15884" max="15884" width="13.5703125" style="1181" bestFit="1" customWidth="1"/>
    <col min="15885" max="15885" width="13.85546875" style="1181" bestFit="1" customWidth="1"/>
    <col min="15886" max="16128" width="9.140625" style="1181"/>
    <col min="16129" max="16129" width="4.42578125" style="1181" customWidth="1"/>
    <col min="16130" max="16130" width="46.85546875" style="1181" customWidth="1"/>
    <col min="16131" max="16131" width="11.28515625" style="1181" bestFit="1" customWidth="1"/>
    <col min="16132" max="16132" width="11.42578125" style="1181" bestFit="1" customWidth="1"/>
    <col min="16133" max="16133" width="11.85546875" style="1181" customWidth="1"/>
    <col min="16134" max="16134" width="10" style="1181" customWidth="1"/>
    <col min="16135" max="16135" width="11.140625" style="1181" customWidth="1"/>
    <col min="16136" max="16136" width="10.28515625" style="1181" bestFit="1" customWidth="1"/>
    <col min="16137" max="16137" width="10.140625" style="1181" bestFit="1" customWidth="1"/>
    <col min="16138" max="16138" width="12" style="1181" bestFit="1" customWidth="1"/>
    <col min="16139" max="16139" width="14.28515625" style="1181" bestFit="1" customWidth="1"/>
    <col min="16140" max="16140" width="13.5703125" style="1181" bestFit="1" customWidth="1"/>
    <col min="16141" max="16141" width="13.85546875" style="1181" bestFit="1" customWidth="1"/>
    <col min="16142" max="16384" width="9.140625" style="1181"/>
  </cols>
  <sheetData>
    <row r="1" spans="1:13" s="1340" customFormat="1" ht="15">
      <c r="H1" s="1341"/>
      <c r="I1" s="1342"/>
      <c r="K1" s="1341"/>
    </row>
    <row r="2" spans="1:13" ht="51" customHeight="1">
      <c r="A2" s="1901" t="s">
        <v>157</v>
      </c>
      <c r="B2" s="1901" t="s">
        <v>905</v>
      </c>
      <c r="C2" s="1903" t="s">
        <v>1122</v>
      </c>
      <c r="D2" s="1903" t="s">
        <v>1156</v>
      </c>
      <c r="E2" s="1894" t="s">
        <v>1157</v>
      </c>
      <c r="F2" s="1894" t="s">
        <v>1124</v>
      </c>
      <c r="G2" s="1894" t="s">
        <v>1125</v>
      </c>
      <c r="H2" s="1895" t="s">
        <v>1126</v>
      </c>
      <c r="I2" s="1897" t="s">
        <v>1127</v>
      </c>
      <c r="J2" s="1899" t="s">
        <v>1158</v>
      </c>
      <c r="K2" s="1890" t="s">
        <v>1129</v>
      </c>
      <c r="L2" s="1890" t="s">
        <v>909</v>
      </c>
      <c r="M2" s="1890" t="s">
        <v>1130</v>
      </c>
    </row>
    <row r="3" spans="1:13" ht="130.5" customHeight="1">
      <c r="A3" s="1902"/>
      <c r="B3" s="1901"/>
      <c r="C3" s="1904"/>
      <c r="D3" s="1904"/>
      <c r="E3" s="1894"/>
      <c r="F3" s="1894"/>
      <c r="G3" s="1894"/>
      <c r="H3" s="1896"/>
      <c r="I3" s="1898"/>
      <c r="J3" s="1900"/>
      <c r="K3" s="1891"/>
      <c r="L3" s="1891"/>
      <c r="M3" s="1891"/>
    </row>
    <row r="4" spans="1:13" ht="15">
      <c r="A4" s="1343"/>
      <c r="B4" s="1344"/>
      <c r="C4" s="1344">
        <v>1</v>
      </c>
      <c r="D4" s="1344">
        <f>C4+1</f>
        <v>2</v>
      </c>
      <c r="E4" s="1344">
        <f t="shared" ref="E4:M4" si="0">D4+1</f>
        <v>3</v>
      </c>
      <c r="F4" s="1344">
        <f t="shared" si="0"/>
        <v>4</v>
      </c>
      <c r="G4" s="1344">
        <f t="shared" si="0"/>
        <v>5</v>
      </c>
      <c r="H4" s="1344">
        <f t="shared" si="0"/>
        <v>6</v>
      </c>
      <c r="I4" s="1344">
        <f t="shared" si="0"/>
        <v>7</v>
      </c>
      <c r="J4" s="1344">
        <f t="shared" si="0"/>
        <v>8</v>
      </c>
      <c r="K4" s="1344">
        <f t="shared" si="0"/>
        <v>9</v>
      </c>
      <c r="L4" s="1344">
        <f t="shared" si="0"/>
        <v>10</v>
      </c>
      <c r="M4" s="1344">
        <f t="shared" si="0"/>
        <v>11</v>
      </c>
    </row>
    <row r="5" spans="1:13" s="1350" customFormat="1" ht="31.5" customHeight="1">
      <c r="A5" s="1343"/>
      <c r="B5" s="1344"/>
      <c r="C5" s="1346" t="s">
        <v>1132</v>
      </c>
      <c r="D5" s="1346" t="s">
        <v>1132</v>
      </c>
      <c r="E5" s="1346" t="s">
        <v>1133</v>
      </c>
      <c r="F5" s="1345" t="s">
        <v>1134</v>
      </c>
      <c r="G5" s="1345" t="s">
        <v>1135</v>
      </c>
      <c r="H5" s="1347" t="s">
        <v>1136</v>
      </c>
      <c r="I5" s="1348" t="s">
        <v>1137</v>
      </c>
      <c r="J5" s="1347" t="s">
        <v>1159</v>
      </c>
      <c r="K5" s="1349" t="s">
        <v>1139</v>
      </c>
      <c r="L5" s="1345" t="s">
        <v>1140</v>
      </c>
      <c r="M5" s="1345" t="s">
        <v>1141</v>
      </c>
    </row>
    <row r="6" spans="1:13" ht="14.25">
      <c r="A6" s="1185">
        <v>1</v>
      </c>
      <c r="B6" s="1186" t="s">
        <v>911</v>
      </c>
      <c r="C6" s="1351">
        <f>'[13]1_MFP &amp; Funded Membership'!$U9</f>
        <v>9391</v>
      </c>
      <c r="D6" s="1351">
        <f>'[16]Final 2-1-12 SIS'!$C11</f>
        <v>9313</v>
      </c>
      <c r="E6" s="1352">
        <f>D6-C6</f>
        <v>-78</v>
      </c>
      <c r="F6" s="1352">
        <f>IF(E6&gt;0,E6,0)</f>
        <v>0</v>
      </c>
      <c r="G6" s="1352">
        <f>IF(E6&lt;0,E6,0)</f>
        <v>-78</v>
      </c>
      <c r="H6" s="1353">
        <f>'Table 3 Levels 1&amp;2'!AL8</f>
        <v>4677</v>
      </c>
      <c r="I6" s="1353">
        <f>'Table 4 Level 3'!P6</f>
        <v>777.48</v>
      </c>
      <c r="J6" s="1353">
        <f>(I6+H6)*0.5</f>
        <v>2727.24</v>
      </c>
      <c r="K6" s="1354">
        <f>E6*J6</f>
        <v>-212724.71999999997</v>
      </c>
      <c r="L6" s="1353">
        <f>IF(K6&gt;0,K6,0)</f>
        <v>0</v>
      </c>
      <c r="M6" s="1353">
        <f>IF(K6&lt;0,K6,0)</f>
        <v>-212724.71999999997</v>
      </c>
    </row>
    <row r="7" spans="1:13" ht="14.25">
      <c r="A7" s="1185">
        <v>2</v>
      </c>
      <c r="B7" s="1186" t="s">
        <v>912</v>
      </c>
      <c r="C7" s="1351">
        <f>'[13]1_MFP &amp; Funded Membership'!$U10</f>
        <v>4054</v>
      </c>
      <c r="D7" s="1351">
        <f>'[16]Final 2-1-12 SIS'!$C12</f>
        <v>4016</v>
      </c>
      <c r="E7" s="1352">
        <f t="shared" ref="E7:E70" si="1">D7-C7</f>
        <v>-38</v>
      </c>
      <c r="F7" s="1352">
        <f t="shared" ref="F7:F70" si="2">IF(E7&gt;0,E7,0)</f>
        <v>0</v>
      </c>
      <c r="G7" s="1352">
        <f t="shared" ref="G7:G70" si="3">IF(E7&lt;0,E7,0)</f>
        <v>-38</v>
      </c>
      <c r="H7" s="1353">
        <f>'Table 3 Levels 1&amp;2'!AL9</f>
        <v>6049.7400997890572</v>
      </c>
      <c r="I7" s="1353">
        <f>'Table 4 Level 3'!P7</f>
        <v>842.32</v>
      </c>
      <c r="J7" s="1353">
        <f t="shared" ref="J7:J70" si="4">(I7+H7)*0.5</f>
        <v>3446.0300498945285</v>
      </c>
      <c r="K7" s="1354">
        <f t="shared" ref="K7:K70" si="5">E7*J7</f>
        <v>-130949.14189599208</v>
      </c>
      <c r="L7" s="1353">
        <f t="shared" ref="L7:L70" si="6">IF(K7&gt;0,K7,0)</f>
        <v>0</v>
      </c>
      <c r="M7" s="1353">
        <f t="shared" ref="M7:M70" si="7">IF(K7&lt;0,K7,0)</f>
        <v>-130949.14189599208</v>
      </c>
    </row>
    <row r="8" spans="1:13" ht="14.25">
      <c r="A8" s="1185">
        <v>3</v>
      </c>
      <c r="B8" s="1186" t="s">
        <v>913</v>
      </c>
      <c r="C8" s="1355">
        <f>'[13]1_MFP &amp; Funded Membership'!$U11</f>
        <v>20060</v>
      </c>
      <c r="D8" s="1355">
        <f>'[16]Final 2-1-12 SIS'!$C13</f>
        <v>20083</v>
      </c>
      <c r="E8" s="1352">
        <f t="shared" si="1"/>
        <v>23</v>
      </c>
      <c r="F8" s="1352">
        <f t="shared" si="2"/>
        <v>23</v>
      </c>
      <c r="G8" s="1352">
        <f t="shared" si="3"/>
        <v>0</v>
      </c>
      <c r="H8" s="1353">
        <f>'Table 3 Levels 1&amp;2'!AL10</f>
        <v>4124.5448582885847</v>
      </c>
      <c r="I8" s="1356">
        <f>'Table 4 Level 3'!P8</f>
        <v>596.84</v>
      </c>
      <c r="J8" s="1356">
        <f t="shared" si="4"/>
        <v>2360.6924291442924</v>
      </c>
      <c r="K8" s="1354">
        <f t="shared" si="5"/>
        <v>54295.925870318722</v>
      </c>
      <c r="L8" s="1356">
        <f t="shared" si="6"/>
        <v>54295.925870318722</v>
      </c>
      <c r="M8" s="1356">
        <f t="shared" si="7"/>
        <v>0</v>
      </c>
    </row>
    <row r="9" spans="1:13" ht="14.25">
      <c r="A9" s="1185">
        <v>4</v>
      </c>
      <c r="B9" s="1186" t="s">
        <v>914</v>
      </c>
      <c r="C9" s="1355">
        <f>'[13]1_MFP &amp; Funded Membership'!$U12</f>
        <v>3538</v>
      </c>
      <c r="D9" s="1355">
        <f>'[16]Final 2-1-12 SIS'!$C14</f>
        <v>3563</v>
      </c>
      <c r="E9" s="1352">
        <f t="shared" si="1"/>
        <v>25</v>
      </c>
      <c r="F9" s="1352">
        <f t="shared" si="2"/>
        <v>25</v>
      </c>
      <c r="G9" s="1352">
        <f t="shared" si="3"/>
        <v>0</v>
      </c>
      <c r="H9" s="1353">
        <f>'Table 3 Levels 1&amp;2'!AL11</f>
        <v>6041.9514771203603</v>
      </c>
      <c r="I9" s="1356">
        <f>'Table 4 Level 3'!P9</f>
        <v>585.76</v>
      </c>
      <c r="J9" s="1356">
        <f t="shared" si="4"/>
        <v>3313.8557385601803</v>
      </c>
      <c r="K9" s="1354">
        <f t="shared" si="5"/>
        <v>82846.393464004504</v>
      </c>
      <c r="L9" s="1356">
        <f t="shared" si="6"/>
        <v>82846.393464004504</v>
      </c>
      <c r="M9" s="1356">
        <f t="shared" si="7"/>
        <v>0</v>
      </c>
    </row>
    <row r="10" spans="1:13" ht="14.25">
      <c r="A10" s="1191">
        <v>5</v>
      </c>
      <c r="B10" s="1192" t="s">
        <v>915</v>
      </c>
      <c r="C10" s="1358">
        <f>'[13]1_MFP &amp; Funded Membership'!$U13</f>
        <v>5726</v>
      </c>
      <c r="D10" s="1358">
        <f>'[16]Final 2-1-12 SIS'!$C15</f>
        <v>5731</v>
      </c>
      <c r="E10" s="1359">
        <f t="shared" si="1"/>
        <v>5</v>
      </c>
      <c r="F10" s="1359">
        <f t="shared" si="2"/>
        <v>5</v>
      </c>
      <c r="G10" s="1359">
        <f t="shared" si="3"/>
        <v>0</v>
      </c>
      <c r="H10" s="1360">
        <f>'Table 3 Levels 1&amp;2'!AL12</f>
        <v>4880.7330578848678</v>
      </c>
      <c r="I10" s="1361">
        <f>'Table 4 Level 3'!P10</f>
        <v>555.91</v>
      </c>
      <c r="J10" s="1361">
        <f t="shared" si="4"/>
        <v>2718.3215289424338</v>
      </c>
      <c r="K10" s="1362">
        <f t="shared" si="5"/>
        <v>13591.607644712169</v>
      </c>
      <c r="L10" s="1361">
        <f t="shared" si="6"/>
        <v>13591.607644712169</v>
      </c>
      <c r="M10" s="1361">
        <f t="shared" si="7"/>
        <v>0</v>
      </c>
    </row>
    <row r="11" spans="1:13" ht="14.25">
      <c r="A11" s="1185">
        <v>6</v>
      </c>
      <c r="B11" s="1186" t="s">
        <v>916</v>
      </c>
      <c r="C11" s="1351">
        <f>'[13]1_MFP &amp; Funded Membership'!$U14</f>
        <v>5984</v>
      </c>
      <c r="D11" s="1351">
        <f>'[16]Final 2-1-12 SIS'!$C16</f>
        <v>6020</v>
      </c>
      <c r="E11" s="1352">
        <f t="shared" si="1"/>
        <v>36</v>
      </c>
      <c r="F11" s="1352">
        <f t="shared" si="2"/>
        <v>36</v>
      </c>
      <c r="G11" s="1352">
        <f t="shared" si="3"/>
        <v>0</v>
      </c>
      <c r="H11" s="1353">
        <f>'Table 3 Levels 1&amp;2'!AL13</f>
        <v>5635.9044142108924</v>
      </c>
      <c r="I11" s="1353">
        <f>'Table 4 Level 3'!P11</f>
        <v>545.4799999999999</v>
      </c>
      <c r="J11" s="1353">
        <f t="shared" si="4"/>
        <v>3090.692207105446</v>
      </c>
      <c r="K11" s="1354">
        <f t="shared" si="5"/>
        <v>111264.91945579606</v>
      </c>
      <c r="L11" s="1353">
        <f t="shared" si="6"/>
        <v>111264.91945579606</v>
      </c>
      <c r="M11" s="1353">
        <f t="shared" si="7"/>
        <v>0</v>
      </c>
    </row>
    <row r="12" spans="1:13" ht="14.25">
      <c r="A12" s="1185">
        <v>7</v>
      </c>
      <c r="B12" s="1186" t="s">
        <v>917</v>
      </c>
      <c r="C12" s="1351">
        <f>'[13]1_MFP &amp; Funded Membership'!$U15</f>
        <v>2218</v>
      </c>
      <c r="D12" s="1351">
        <f>'[16]Final 2-1-12 SIS'!$C17</f>
        <v>2207</v>
      </c>
      <c r="E12" s="1352">
        <f t="shared" si="1"/>
        <v>-11</v>
      </c>
      <c r="F12" s="1352">
        <f t="shared" si="2"/>
        <v>0</v>
      </c>
      <c r="G12" s="1352">
        <f t="shared" si="3"/>
        <v>-11</v>
      </c>
      <c r="H12" s="1353">
        <f>'Table 3 Levels 1&amp;2'!AL14</f>
        <v>1539.9708087233075</v>
      </c>
      <c r="I12" s="1353">
        <f>'Table 4 Level 3'!P12</f>
        <v>756.91999999999985</v>
      </c>
      <c r="J12" s="1353">
        <f t="shared" si="4"/>
        <v>1148.4454043616538</v>
      </c>
      <c r="K12" s="1354">
        <f t="shared" si="5"/>
        <v>-12632.899447978192</v>
      </c>
      <c r="L12" s="1353">
        <f t="shared" si="6"/>
        <v>0</v>
      </c>
      <c r="M12" s="1353">
        <f t="shared" si="7"/>
        <v>-12632.899447978192</v>
      </c>
    </row>
    <row r="13" spans="1:13" ht="14.25">
      <c r="A13" s="1185">
        <v>8</v>
      </c>
      <c r="B13" s="1186" t="s">
        <v>918</v>
      </c>
      <c r="C13" s="1355">
        <f>'[13]1_MFP &amp; Funded Membership'!$U16</f>
        <v>20835</v>
      </c>
      <c r="D13" s="1355">
        <f>'[16]Final 2-1-12 SIS'!$C18</f>
        <v>20718</v>
      </c>
      <c r="E13" s="1352">
        <f t="shared" si="1"/>
        <v>-117</v>
      </c>
      <c r="F13" s="1352">
        <f t="shared" si="2"/>
        <v>0</v>
      </c>
      <c r="G13" s="1352">
        <f t="shared" si="3"/>
        <v>-117</v>
      </c>
      <c r="H13" s="1353">
        <f>'Table 3 Levels 1&amp;2'!AL15</f>
        <v>4001.3396175836074</v>
      </c>
      <c r="I13" s="1356">
        <f>'Table 4 Level 3'!P13</f>
        <v>725.76</v>
      </c>
      <c r="J13" s="1356">
        <f t="shared" si="4"/>
        <v>2363.5498087918036</v>
      </c>
      <c r="K13" s="1354">
        <f t="shared" si="5"/>
        <v>-276535.32762864104</v>
      </c>
      <c r="L13" s="1356">
        <f t="shared" si="6"/>
        <v>0</v>
      </c>
      <c r="M13" s="1356">
        <f t="shared" si="7"/>
        <v>-276535.32762864104</v>
      </c>
    </row>
    <row r="14" spans="1:13" ht="14.25">
      <c r="A14" s="1185">
        <v>9</v>
      </c>
      <c r="B14" s="1186" t="s">
        <v>919</v>
      </c>
      <c r="C14" s="1355">
        <f>'[13]1_MFP &amp; Funded Membership'!$U17</f>
        <v>40724</v>
      </c>
      <c r="D14" s="1355">
        <f>'[16]Final 2-1-12 SIS'!$C19</f>
        <v>40653</v>
      </c>
      <c r="E14" s="1352">
        <f t="shared" si="1"/>
        <v>-71</v>
      </c>
      <c r="F14" s="1352">
        <f t="shared" si="2"/>
        <v>0</v>
      </c>
      <c r="G14" s="1352">
        <f t="shared" si="3"/>
        <v>-71</v>
      </c>
      <c r="H14" s="1364">
        <f>'Table 5B2_RSD_LA'!D26</f>
        <v>4384.9112825532311</v>
      </c>
      <c r="I14" s="1364">
        <f>'Table 5B2_RSD_LA'!F26</f>
        <v>744.76</v>
      </c>
      <c r="J14" s="1356">
        <f t="shared" si="4"/>
        <v>2564.8356412766157</v>
      </c>
      <c r="K14" s="1354">
        <f t="shared" si="5"/>
        <v>-182103.33053063971</v>
      </c>
      <c r="L14" s="1365">
        <f t="shared" si="6"/>
        <v>0</v>
      </c>
      <c r="M14" s="1365">
        <f t="shared" si="7"/>
        <v>-182103.33053063971</v>
      </c>
    </row>
    <row r="15" spans="1:13" ht="14.25">
      <c r="A15" s="1191">
        <v>10</v>
      </c>
      <c r="B15" s="1192" t="s">
        <v>686</v>
      </c>
      <c r="C15" s="1358">
        <f>'[13]1_MFP &amp; Funded Membership'!$U18</f>
        <v>31029</v>
      </c>
      <c r="D15" s="1358">
        <f>'[16]Final 2-1-12 SIS'!$C20</f>
        <v>30976</v>
      </c>
      <c r="E15" s="1359">
        <f t="shared" si="1"/>
        <v>-53</v>
      </c>
      <c r="F15" s="1359">
        <f t="shared" si="2"/>
        <v>0</v>
      </c>
      <c r="G15" s="1359">
        <f t="shared" si="3"/>
        <v>-53</v>
      </c>
      <c r="H15" s="1361">
        <f>'Table 3 Levels 1&amp;2'!AL17</f>
        <v>4312.1443052791201</v>
      </c>
      <c r="I15" s="1361">
        <f>'Table 4 Level 3'!P15</f>
        <v>608.04000000000008</v>
      </c>
      <c r="J15" s="1361">
        <f t="shared" si="4"/>
        <v>2460.09215263956</v>
      </c>
      <c r="K15" s="1362">
        <f t="shared" si="5"/>
        <v>-130384.88408989669</v>
      </c>
      <c r="L15" s="1366">
        <f t="shared" si="6"/>
        <v>0</v>
      </c>
      <c r="M15" s="1366">
        <f t="shared" si="7"/>
        <v>-130384.88408989669</v>
      </c>
    </row>
    <row r="16" spans="1:13" ht="14.25">
      <c r="A16" s="1185">
        <v>11</v>
      </c>
      <c r="B16" s="1186" t="s">
        <v>920</v>
      </c>
      <c r="C16" s="1351">
        <f>'[13]1_MFP &amp; Funded Membership'!$U19</f>
        <v>1560</v>
      </c>
      <c r="D16" s="1351">
        <f>'[16]Final 2-1-12 SIS'!$C21</f>
        <v>1572</v>
      </c>
      <c r="E16" s="1352">
        <f t="shared" si="1"/>
        <v>12</v>
      </c>
      <c r="F16" s="1352">
        <f t="shared" si="2"/>
        <v>12</v>
      </c>
      <c r="G16" s="1352">
        <f t="shared" si="3"/>
        <v>0</v>
      </c>
      <c r="H16" s="1353">
        <f>'Table 3 Levels 1&amp;2'!AL18</f>
        <v>6667.3641648485982</v>
      </c>
      <c r="I16" s="1353">
        <f>'Table 4 Level 3'!P16</f>
        <v>706.55</v>
      </c>
      <c r="J16" s="1353">
        <f t="shared" si="4"/>
        <v>3686.9570824242992</v>
      </c>
      <c r="K16" s="1354">
        <f t="shared" si="5"/>
        <v>44243.484989091594</v>
      </c>
      <c r="L16" s="1365">
        <f t="shared" si="6"/>
        <v>44243.484989091594</v>
      </c>
      <c r="M16" s="1365">
        <f t="shared" si="7"/>
        <v>0</v>
      </c>
    </row>
    <row r="17" spans="1:13" ht="14.25">
      <c r="A17" s="1185">
        <v>12</v>
      </c>
      <c r="B17" s="1186" t="s">
        <v>921</v>
      </c>
      <c r="C17" s="1351">
        <f>'[13]1_MFP &amp; Funded Membership'!$U20</f>
        <v>1267</v>
      </c>
      <c r="D17" s="1351">
        <f>'[16]Final 2-1-12 SIS'!$C22</f>
        <v>1223</v>
      </c>
      <c r="E17" s="1352">
        <f t="shared" si="1"/>
        <v>-44</v>
      </c>
      <c r="F17" s="1352">
        <f t="shared" si="2"/>
        <v>0</v>
      </c>
      <c r="G17" s="1352">
        <f t="shared" si="3"/>
        <v>-44</v>
      </c>
      <c r="H17" s="1353">
        <f>'Table 3 Levels 1&amp;2'!AL19</f>
        <v>1626.5264112903226</v>
      </c>
      <c r="I17" s="1353">
        <f>'Table 4 Level 3'!P17</f>
        <v>1063.31</v>
      </c>
      <c r="J17" s="1353">
        <f t="shared" si="4"/>
        <v>1344.9182056451614</v>
      </c>
      <c r="K17" s="1354">
        <f t="shared" si="5"/>
        <v>-59176.401048387102</v>
      </c>
      <c r="L17" s="1365">
        <f t="shared" si="6"/>
        <v>0</v>
      </c>
      <c r="M17" s="1365">
        <f t="shared" si="7"/>
        <v>-59176.401048387102</v>
      </c>
    </row>
    <row r="18" spans="1:13" ht="14.25">
      <c r="A18" s="1185">
        <v>13</v>
      </c>
      <c r="B18" s="1186" t="s">
        <v>922</v>
      </c>
      <c r="C18" s="1355">
        <f>'[13]1_MFP &amp; Funded Membership'!$U21</f>
        <v>1521</v>
      </c>
      <c r="D18" s="1355">
        <f>'[16]Final 2-1-12 SIS'!$C23</f>
        <v>1508</v>
      </c>
      <c r="E18" s="1352">
        <f t="shared" si="1"/>
        <v>-13</v>
      </c>
      <c r="F18" s="1352">
        <f t="shared" si="2"/>
        <v>0</v>
      </c>
      <c r="G18" s="1352">
        <f t="shared" si="3"/>
        <v>-13</v>
      </c>
      <c r="H18" s="1356">
        <f>'Table 3 Levels 1&amp;2'!AL20</f>
        <v>5976.0447441689766</v>
      </c>
      <c r="I18" s="1356">
        <f>'Table 4 Level 3'!P18</f>
        <v>749.43000000000006</v>
      </c>
      <c r="J18" s="1356">
        <f t="shared" si="4"/>
        <v>3362.7373720844885</v>
      </c>
      <c r="K18" s="1354">
        <f t="shared" si="5"/>
        <v>-43715.585837098348</v>
      </c>
      <c r="L18" s="1365">
        <f t="shared" si="6"/>
        <v>0</v>
      </c>
      <c r="M18" s="1365">
        <f t="shared" si="7"/>
        <v>-43715.585837098348</v>
      </c>
    </row>
    <row r="19" spans="1:13" ht="14.25">
      <c r="A19" s="1185">
        <v>14</v>
      </c>
      <c r="B19" s="1186" t="s">
        <v>923</v>
      </c>
      <c r="C19" s="1355">
        <f>'[13]1_MFP &amp; Funded Membership'!$U22</f>
        <v>1982</v>
      </c>
      <c r="D19" s="1355">
        <f>'[16]Final 2-1-12 SIS'!$C24</f>
        <v>1945</v>
      </c>
      <c r="E19" s="1352">
        <f t="shared" si="1"/>
        <v>-37</v>
      </c>
      <c r="F19" s="1352">
        <f t="shared" si="2"/>
        <v>0</v>
      </c>
      <c r="G19" s="1352">
        <f t="shared" si="3"/>
        <v>-37</v>
      </c>
      <c r="H19" s="1356">
        <f>'Table 3 Levels 1&amp;2'!AL21</f>
        <v>5748.9781278518667</v>
      </c>
      <c r="I19" s="1356">
        <f>'Table 4 Level 3'!P19</f>
        <v>809.9799999999999</v>
      </c>
      <c r="J19" s="1356">
        <f t="shared" si="4"/>
        <v>3279.4790639259331</v>
      </c>
      <c r="K19" s="1354">
        <f t="shared" si="5"/>
        <v>-121340.72536525952</v>
      </c>
      <c r="L19" s="1365">
        <f t="shared" si="6"/>
        <v>0</v>
      </c>
      <c r="M19" s="1365">
        <f t="shared" si="7"/>
        <v>-121340.72536525952</v>
      </c>
    </row>
    <row r="20" spans="1:13" ht="14.25">
      <c r="A20" s="1191">
        <v>15</v>
      </c>
      <c r="B20" s="1192" t="s">
        <v>924</v>
      </c>
      <c r="C20" s="1358">
        <f>'[13]1_MFP &amp; Funded Membership'!$U23</f>
        <v>3643</v>
      </c>
      <c r="D20" s="1358">
        <f>'[16]Final 2-1-12 SIS'!$C25</f>
        <v>3621</v>
      </c>
      <c r="E20" s="1359">
        <f t="shared" si="1"/>
        <v>-22</v>
      </c>
      <c r="F20" s="1359">
        <f t="shared" si="2"/>
        <v>0</v>
      </c>
      <c r="G20" s="1359">
        <f t="shared" si="3"/>
        <v>-22</v>
      </c>
      <c r="H20" s="1361">
        <f>'Table 3 Levels 1&amp;2'!AL22</f>
        <v>5398.5769743445289</v>
      </c>
      <c r="I20" s="1361">
        <f>'Table 4 Level 3'!P20</f>
        <v>553.79999999999995</v>
      </c>
      <c r="J20" s="1361">
        <f t="shared" si="4"/>
        <v>2976.1884871722646</v>
      </c>
      <c r="K20" s="1362">
        <f t="shared" si="5"/>
        <v>-65476.146717789823</v>
      </c>
      <c r="L20" s="1366">
        <f t="shared" si="6"/>
        <v>0</v>
      </c>
      <c r="M20" s="1366">
        <f t="shared" si="7"/>
        <v>-65476.146717789823</v>
      </c>
    </row>
    <row r="21" spans="1:13" ht="14.25">
      <c r="A21" s="1185">
        <v>16</v>
      </c>
      <c r="B21" s="1186" t="s">
        <v>925</v>
      </c>
      <c r="C21" s="1351">
        <f>'[13]1_MFP &amp; Funded Membership'!$U24</f>
        <v>4776</v>
      </c>
      <c r="D21" s="1351">
        <f>'[16]Final 2-1-12 SIS'!$C26</f>
        <v>4773</v>
      </c>
      <c r="E21" s="1352">
        <f t="shared" si="1"/>
        <v>-3</v>
      </c>
      <c r="F21" s="1352">
        <f t="shared" si="2"/>
        <v>0</v>
      </c>
      <c r="G21" s="1352">
        <f t="shared" si="3"/>
        <v>-3</v>
      </c>
      <c r="H21" s="1353">
        <f>'Table 3 Levels 1&amp;2'!AL23</f>
        <v>1513.1956916827025</v>
      </c>
      <c r="I21" s="1353">
        <f>'Table 4 Level 3'!P21</f>
        <v>686.73</v>
      </c>
      <c r="J21" s="1353">
        <f t="shared" si="4"/>
        <v>1099.9628458413513</v>
      </c>
      <c r="K21" s="1354">
        <f t="shared" si="5"/>
        <v>-3299.8885375240538</v>
      </c>
      <c r="L21" s="1365">
        <f t="shared" si="6"/>
        <v>0</v>
      </c>
      <c r="M21" s="1365">
        <f t="shared" si="7"/>
        <v>-3299.8885375240538</v>
      </c>
    </row>
    <row r="22" spans="1:13" ht="14.25">
      <c r="A22" s="1185">
        <v>17</v>
      </c>
      <c r="B22" s="1186" t="s">
        <v>639</v>
      </c>
      <c r="C22" s="1355">
        <f>'[13]1_MFP &amp; Funded Membership'!$U25</f>
        <v>41233</v>
      </c>
      <c r="D22" s="1355">
        <f>'[16]Final 2-1-12 SIS'!$C27</f>
        <v>41009</v>
      </c>
      <c r="E22" s="1352">
        <f t="shared" si="1"/>
        <v>-224</v>
      </c>
      <c r="F22" s="1352">
        <f t="shared" si="2"/>
        <v>0</v>
      </c>
      <c r="G22" s="1352">
        <f t="shared" si="3"/>
        <v>-224</v>
      </c>
      <c r="H22" s="1364">
        <f>'Table 5B2_RSD_LA'!D7</f>
        <v>3266.8023094143459</v>
      </c>
      <c r="I22" s="1364">
        <f>'Table 5B2_RSD_LA'!F7</f>
        <v>801.47762416806802</v>
      </c>
      <c r="J22" s="1356">
        <f t="shared" si="4"/>
        <v>2034.1399667912069</v>
      </c>
      <c r="K22" s="1354">
        <f t="shared" si="5"/>
        <v>-455647.35256123036</v>
      </c>
      <c r="L22" s="1365">
        <f t="shared" si="6"/>
        <v>0</v>
      </c>
      <c r="M22" s="1365">
        <f t="shared" si="7"/>
        <v>-455647.35256123036</v>
      </c>
    </row>
    <row r="23" spans="1:13" ht="14.25">
      <c r="A23" s="1185">
        <v>18</v>
      </c>
      <c r="B23" s="1186" t="s">
        <v>926</v>
      </c>
      <c r="C23" s="1355">
        <f>'[13]1_MFP &amp; Funded Membership'!$U26</f>
        <v>1153</v>
      </c>
      <c r="D23" s="1355">
        <f>'[16]Final 2-1-12 SIS'!$C28</f>
        <v>1134</v>
      </c>
      <c r="E23" s="1352">
        <f t="shared" si="1"/>
        <v>-19</v>
      </c>
      <c r="F23" s="1352">
        <f t="shared" si="2"/>
        <v>0</v>
      </c>
      <c r="G23" s="1352">
        <f t="shared" si="3"/>
        <v>-19</v>
      </c>
      <c r="H23" s="1356">
        <f>'Table 3 Levels 1&amp;2'!AL25</f>
        <v>5769.3454577403263</v>
      </c>
      <c r="I23" s="1356">
        <f>'Table 4 Level 3'!P23</f>
        <v>845.94999999999993</v>
      </c>
      <c r="J23" s="1356">
        <f t="shared" si="4"/>
        <v>3307.6477288701631</v>
      </c>
      <c r="K23" s="1354">
        <f t="shared" si="5"/>
        <v>-62845.306848533095</v>
      </c>
      <c r="L23" s="1365">
        <f t="shared" si="6"/>
        <v>0</v>
      </c>
      <c r="M23" s="1365">
        <f t="shared" si="7"/>
        <v>-62845.306848533095</v>
      </c>
    </row>
    <row r="24" spans="1:13" ht="14.25">
      <c r="A24" s="1185">
        <v>19</v>
      </c>
      <c r="B24" s="1186" t="s">
        <v>927</v>
      </c>
      <c r="C24" s="1355">
        <f>'[13]1_MFP &amp; Funded Membership'!$U27</f>
        <v>1960</v>
      </c>
      <c r="D24" s="1355">
        <f>'[16]Final 2-1-12 SIS'!$C29</f>
        <v>1929</v>
      </c>
      <c r="E24" s="1352">
        <f t="shared" si="1"/>
        <v>-31</v>
      </c>
      <c r="F24" s="1352">
        <f t="shared" si="2"/>
        <v>0</v>
      </c>
      <c r="G24" s="1352">
        <f t="shared" si="3"/>
        <v>-31</v>
      </c>
      <c r="H24" s="1356">
        <f>'Table 3 Levels 1&amp;2'!AL26</f>
        <v>5204.1629475628188</v>
      </c>
      <c r="I24" s="1356">
        <f>'Table 4 Level 3'!P24</f>
        <v>905.43</v>
      </c>
      <c r="J24" s="1356">
        <f t="shared" si="4"/>
        <v>3054.7964737814095</v>
      </c>
      <c r="K24" s="1354">
        <f t="shared" si="5"/>
        <v>-94698.690687223701</v>
      </c>
      <c r="L24" s="1365">
        <f t="shared" si="6"/>
        <v>0</v>
      </c>
      <c r="M24" s="1365">
        <f t="shared" si="7"/>
        <v>-94698.690687223701</v>
      </c>
    </row>
    <row r="25" spans="1:13" ht="14.25">
      <c r="A25" s="1191">
        <v>20</v>
      </c>
      <c r="B25" s="1192" t="s">
        <v>928</v>
      </c>
      <c r="C25" s="1358">
        <f>'[13]1_MFP &amp; Funded Membership'!$U28</f>
        <v>5806</v>
      </c>
      <c r="D25" s="1358">
        <f>'[16]Final 2-1-12 SIS'!$C30</f>
        <v>5802</v>
      </c>
      <c r="E25" s="1359">
        <f t="shared" si="1"/>
        <v>-4</v>
      </c>
      <c r="F25" s="1359">
        <f t="shared" si="2"/>
        <v>0</v>
      </c>
      <c r="G25" s="1359">
        <f t="shared" si="3"/>
        <v>-4</v>
      </c>
      <c r="H25" s="1361">
        <f>'Table 3 Levels 1&amp;2'!AL27</f>
        <v>5438.195601937884</v>
      </c>
      <c r="I25" s="1361">
        <f>'Table 4 Level 3'!P25</f>
        <v>586.16999999999996</v>
      </c>
      <c r="J25" s="1361">
        <f t="shared" si="4"/>
        <v>3012.182800968942</v>
      </c>
      <c r="K25" s="1362">
        <f t="shared" si="5"/>
        <v>-12048.731203875768</v>
      </c>
      <c r="L25" s="1366">
        <f t="shared" si="6"/>
        <v>0</v>
      </c>
      <c r="M25" s="1366">
        <f t="shared" si="7"/>
        <v>-12048.731203875768</v>
      </c>
    </row>
    <row r="26" spans="1:13" ht="14.25">
      <c r="A26" s="1185">
        <v>21</v>
      </c>
      <c r="B26" s="1186" t="s">
        <v>929</v>
      </c>
      <c r="C26" s="1351">
        <f>'[13]1_MFP &amp; Funded Membership'!$U29</f>
        <v>2945</v>
      </c>
      <c r="D26" s="1351">
        <f>'[16]Final 2-1-12 SIS'!$C31</f>
        <v>2938</v>
      </c>
      <c r="E26" s="1352">
        <f t="shared" si="1"/>
        <v>-7</v>
      </c>
      <c r="F26" s="1352">
        <f t="shared" si="2"/>
        <v>0</v>
      </c>
      <c r="G26" s="1352">
        <f t="shared" si="3"/>
        <v>-7</v>
      </c>
      <c r="H26" s="1353">
        <f>'Table 3 Levels 1&amp;2'!AL28</f>
        <v>5619.1060149138521</v>
      </c>
      <c r="I26" s="1353">
        <f>'Table 4 Level 3'!P26</f>
        <v>610.35</v>
      </c>
      <c r="J26" s="1353">
        <f t="shared" si="4"/>
        <v>3114.7280074569262</v>
      </c>
      <c r="K26" s="1354">
        <f t="shared" si="5"/>
        <v>-21803.096052198482</v>
      </c>
      <c r="L26" s="1365">
        <f t="shared" si="6"/>
        <v>0</v>
      </c>
      <c r="M26" s="1365">
        <f t="shared" si="7"/>
        <v>-21803.096052198482</v>
      </c>
    </row>
    <row r="27" spans="1:13" ht="14.25">
      <c r="A27" s="1185">
        <v>22</v>
      </c>
      <c r="B27" s="1186" t="s">
        <v>930</v>
      </c>
      <c r="C27" s="1351">
        <f>'[13]1_MFP &amp; Funded Membership'!$U30</f>
        <v>3274</v>
      </c>
      <c r="D27" s="1351">
        <f>'[16]Final 2-1-12 SIS'!$C32</f>
        <v>3267</v>
      </c>
      <c r="E27" s="1352">
        <f t="shared" si="1"/>
        <v>-7</v>
      </c>
      <c r="F27" s="1352">
        <f t="shared" si="2"/>
        <v>0</v>
      </c>
      <c r="G27" s="1352">
        <f t="shared" si="3"/>
        <v>-7</v>
      </c>
      <c r="H27" s="1353">
        <f>'Table 3 Levels 1&amp;2'!AL29</f>
        <v>6186.2533617664849</v>
      </c>
      <c r="I27" s="1353">
        <f>'Table 4 Level 3'!P27</f>
        <v>496.36</v>
      </c>
      <c r="J27" s="1353">
        <f t="shared" si="4"/>
        <v>3341.3066808832423</v>
      </c>
      <c r="K27" s="1354">
        <f t="shared" si="5"/>
        <v>-23389.146766182697</v>
      </c>
      <c r="L27" s="1365">
        <f t="shared" si="6"/>
        <v>0</v>
      </c>
      <c r="M27" s="1365">
        <f t="shared" si="7"/>
        <v>-23389.146766182697</v>
      </c>
    </row>
    <row r="28" spans="1:13" ht="14.25">
      <c r="A28" s="1185">
        <v>23</v>
      </c>
      <c r="B28" s="1186" t="s">
        <v>931</v>
      </c>
      <c r="C28" s="1355">
        <f>'[13]1_MFP &amp; Funded Membership'!$U31</f>
        <v>13350</v>
      </c>
      <c r="D28" s="1355">
        <f>'[16]Final 2-1-12 SIS'!$C33</f>
        <v>13259</v>
      </c>
      <c r="E28" s="1352">
        <f t="shared" si="1"/>
        <v>-91</v>
      </c>
      <c r="F28" s="1352">
        <f t="shared" si="2"/>
        <v>0</v>
      </c>
      <c r="G28" s="1352">
        <f t="shared" si="3"/>
        <v>-91</v>
      </c>
      <c r="H28" s="1356">
        <f>'Table 3 Levels 1&amp;2'!AL30</f>
        <v>4829.3097037013158</v>
      </c>
      <c r="I28" s="1356">
        <f>'Table 4 Level 3'!P28</f>
        <v>688.58</v>
      </c>
      <c r="J28" s="1356">
        <f t="shared" si="4"/>
        <v>2758.9448518506579</v>
      </c>
      <c r="K28" s="1354">
        <f t="shared" si="5"/>
        <v>-251063.98151840986</v>
      </c>
      <c r="L28" s="1365">
        <f t="shared" si="6"/>
        <v>0</v>
      </c>
      <c r="M28" s="1365">
        <f t="shared" si="7"/>
        <v>-251063.98151840986</v>
      </c>
    </row>
    <row r="29" spans="1:13" ht="14.25">
      <c r="A29" s="1185">
        <v>24</v>
      </c>
      <c r="B29" s="1186" t="s">
        <v>932</v>
      </c>
      <c r="C29" s="1355">
        <f>'[13]1_MFP &amp; Funded Membership'!$U32</f>
        <v>4479</v>
      </c>
      <c r="D29" s="1355">
        <f>'[16]Final 2-1-12 SIS'!$C34</f>
        <v>4461</v>
      </c>
      <c r="E29" s="1352">
        <f t="shared" si="1"/>
        <v>-18</v>
      </c>
      <c r="F29" s="1352">
        <f t="shared" si="2"/>
        <v>0</v>
      </c>
      <c r="G29" s="1352">
        <f t="shared" si="3"/>
        <v>-18</v>
      </c>
      <c r="H29" s="1356">
        <f>'Table 3 Levels 1&amp;2'!AL31</f>
        <v>2494.5582513160907</v>
      </c>
      <c r="I29" s="1356">
        <f>'Table 4 Level 3'!P29</f>
        <v>854.24999999999989</v>
      </c>
      <c r="J29" s="1356">
        <f t="shared" si="4"/>
        <v>1674.4041256580454</v>
      </c>
      <c r="K29" s="1354">
        <f t="shared" si="5"/>
        <v>-30139.274261844817</v>
      </c>
      <c r="L29" s="1365">
        <f t="shared" si="6"/>
        <v>0</v>
      </c>
      <c r="M29" s="1365">
        <f t="shared" si="7"/>
        <v>-30139.274261844817</v>
      </c>
    </row>
    <row r="30" spans="1:13" ht="14.25">
      <c r="A30" s="1191">
        <v>25</v>
      </c>
      <c r="B30" s="1192" t="s">
        <v>933</v>
      </c>
      <c r="C30" s="1358">
        <f>'[13]1_MFP &amp; Funded Membership'!$U33</f>
        <v>2216</v>
      </c>
      <c r="D30" s="1358">
        <f>'[16]Final 2-1-12 SIS'!$C35</f>
        <v>2224</v>
      </c>
      <c r="E30" s="1359">
        <f t="shared" si="1"/>
        <v>8</v>
      </c>
      <c r="F30" s="1359">
        <f t="shared" si="2"/>
        <v>8</v>
      </c>
      <c r="G30" s="1359">
        <f t="shared" si="3"/>
        <v>0</v>
      </c>
      <c r="H30" s="1361">
        <f>'Table 3 Levels 1&amp;2'!AL32</f>
        <v>3667.3121807284342</v>
      </c>
      <c r="I30" s="1361">
        <f>'Table 4 Level 3'!P30</f>
        <v>653.73</v>
      </c>
      <c r="J30" s="1361">
        <f t="shared" si="4"/>
        <v>2160.5210903642173</v>
      </c>
      <c r="K30" s="1362">
        <f t="shared" si="5"/>
        <v>17284.168722913739</v>
      </c>
      <c r="L30" s="1366">
        <f t="shared" si="6"/>
        <v>17284.168722913739</v>
      </c>
      <c r="M30" s="1366">
        <f t="shared" si="7"/>
        <v>0</v>
      </c>
    </row>
    <row r="31" spans="1:13" ht="14.25">
      <c r="A31" s="1185">
        <v>26</v>
      </c>
      <c r="B31" s="1186" t="s">
        <v>663</v>
      </c>
      <c r="C31" s="1351">
        <f>'[13]1_MFP &amp; Funded Membership'!$U34</f>
        <v>43828</v>
      </c>
      <c r="D31" s="1351">
        <f>'[16]Final 2-1-12 SIS'!$C36</f>
        <v>43581</v>
      </c>
      <c r="E31" s="1352">
        <f t="shared" si="1"/>
        <v>-247</v>
      </c>
      <c r="F31" s="1352">
        <f t="shared" si="2"/>
        <v>0</v>
      </c>
      <c r="G31" s="1352">
        <f t="shared" si="3"/>
        <v>-247</v>
      </c>
      <c r="H31" s="1353">
        <f>'Table 3 Levels 1&amp;2'!AL33</f>
        <v>3150.3479009796833</v>
      </c>
      <c r="I31" s="1353">
        <f>'Table 4 Level 3'!P31</f>
        <v>836.83</v>
      </c>
      <c r="J31" s="1353">
        <f t="shared" si="4"/>
        <v>1993.5889504898416</v>
      </c>
      <c r="K31" s="1354">
        <f t="shared" si="5"/>
        <v>-492416.47077099088</v>
      </c>
      <c r="L31" s="1365">
        <f t="shared" si="6"/>
        <v>0</v>
      </c>
      <c r="M31" s="1365">
        <f t="shared" si="7"/>
        <v>-492416.47077099088</v>
      </c>
    </row>
    <row r="32" spans="1:13" ht="14.25">
      <c r="A32" s="1185">
        <v>27</v>
      </c>
      <c r="B32" s="1186" t="s">
        <v>934</v>
      </c>
      <c r="C32" s="1351">
        <f>'[13]1_MFP &amp; Funded Membership'!$U35</f>
        <v>5577</v>
      </c>
      <c r="D32" s="1351">
        <f>'[16]Final 2-1-12 SIS'!$C37</f>
        <v>5597</v>
      </c>
      <c r="E32" s="1352">
        <f t="shared" si="1"/>
        <v>20</v>
      </c>
      <c r="F32" s="1352">
        <f t="shared" si="2"/>
        <v>20</v>
      </c>
      <c r="G32" s="1352">
        <f t="shared" si="3"/>
        <v>0</v>
      </c>
      <c r="H32" s="1353">
        <f>'Table 3 Levels 1&amp;2'!AL34</f>
        <v>5715.0018781210929</v>
      </c>
      <c r="I32" s="1353">
        <f>'Table 4 Level 3'!P32</f>
        <v>693.06</v>
      </c>
      <c r="J32" s="1353">
        <f t="shared" si="4"/>
        <v>3204.0309390605462</v>
      </c>
      <c r="K32" s="1354">
        <f t="shared" si="5"/>
        <v>64080.618781210927</v>
      </c>
      <c r="L32" s="1365">
        <f t="shared" si="6"/>
        <v>64080.618781210927</v>
      </c>
      <c r="M32" s="1365">
        <f t="shared" si="7"/>
        <v>0</v>
      </c>
    </row>
    <row r="33" spans="1:13" ht="14.25">
      <c r="A33" s="1185">
        <v>28</v>
      </c>
      <c r="B33" s="1186" t="s">
        <v>935</v>
      </c>
      <c r="C33" s="1355">
        <f>'[13]1_MFP &amp; Funded Membership'!$U36</f>
        <v>29869</v>
      </c>
      <c r="D33" s="1355">
        <f>'[16]Final 2-1-12 SIS'!$C38</f>
        <v>29564</v>
      </c>
      <c r="E33" s="1352">
        <f t="shared" si="1"/>
        <v>-305</v>
      </c>
      <c r="F33" s="1352">
        <f t="shared" si="2"/>
        <v>0</v>
      </c>
      <c r="G33" s="1352">
        <f t="shared" si="3"/>
        <v>-305</v>
      </c>
      <c r="H33" s="1356">
        <f>'Table 3 Levels 1&amp;2'!AL35</f>
        <v>3367.3455288990817</v>
      </c>
      <c r="I33" s="1356">
        <f>'Table 4 Level 3'!P33</f>
        <v>694.4</v>
      </c>
      <c r="J33" s="1356">
        <f t="shared" si="4"/>
        <v>2030.8727644495409</v>
      </c>
      <c r="K33" s="1354">
        <f t="shared" si="5"/>
        <v>-619416.19315711001</v>
      </c>
      <c r="L33" s="1365">
        <f t="shared" si="6"/>
        <v>0</v>
      </c>
      <c r="M33" s="1365">
        <f t="shared" si="7"/>
        <v>-619416.19315711001</v>
      </c>
    </row>
    <row r="34" spans="1:13" ht="14.25">
      <c r="A34" s="1185">
        <v>29</v>
      </c>
      <c r="B34" s="1186" t="s">
        <v>936</v>
      </c>
      <c r="C34" s="1355">
        <f>'[13]1_MFP &amp; Funded Membership'!$U37</f>
        <v>13652</v>
      </c>
      <c r="D34" s="1355">
        <f>'[16]Final 2-1-12 SIS'!$C39</f>
        <v>13508</v>
      </c>
      <c r="E34" s="1352">
        <f t="shared" si="1"/>
        <v>-144</v>
      </c>
      <c r="F34" s="1352">
        <f t="shared" si="2"/>
        <v>0</v>
      </c>
      <c r="G34" s="1352">
        <f t="shared" si="3"/>
        <v>-144</v>
      </c>
      <c r="H34" s="1356">
        <f>'Table 3 Levels 1&amp;2'!AL36</f>
        <v>4199.8161124471389</v>
      </c>
      <c r="I34" s="1356">
        <f>'Table 4 Level 3'!P34</f>
        <v>754.94999999999993</v>
      </c>
      <c r="J34" s="1356">
        <f t="shared" si="4"/>
        <v>2477.3830562235694</v>
      </c>
      <c r="K34" s="1354">
        <f t="shared" si="5"/>
        <v>-356743.16009619401</v>
      </c>
      <c r="L34" s="1365">
        <f t="shared" si="6"/>
        <v>0</v>
      </c>
      <c r="M34" s="1365">
        <f t="shared" si="7"/>
        <v>-356743.16009619401</v>
      </c>
    </row>
    <row r="35" spans="1:13" ht="14.25">
      <c r="A35" s="1191">
        <v>30</v>
      </c>
      <c r="B35" s="1192" t="s">
        <v>937</v>
      </c>
      <c r="C35" s="1358">
        <f>'[13]1_MFP &amp; Funded Membership'!$U38</f>
        <v>2472</v>
      </c>
      <c r="D35" s="1358">
        <f>'[16]Final 2-1-12 SIS'!$C40</f>
        <v>2431</v>
      </c>
      <c r="E35" s="1359">
        <f t="shared" si="1"/>
        <v>-41</v>
      </c>
      <c r="F35" s="1359">
        <f t="shared" si="2"/>
        <v>0</v>
      </c>
      <c r="G35" s="1359">
        <f t="shared" si="3"/>
        <v>-41</v>
      </c>
      <c r="H35" s="1361">
        <f>'Table 3 Levels 1&amp;2'!AL37</f>
        <v>5781.5240951203286</v>
      </c>
      <c r="I35" s="1361">
        <f>'Table 4 Level 3'!P35</f>
        <v>727.17</v>
      </c>
      <c r="J35" s="1361">
        <f t="shared" si="4"/>
        <v>3254.3470475601644</v>
      </c>
      <c r="K35" s="1362">
        <f t="shared" si="5"/>
        <v>-133428.22894996672</v>
      </c>
      <c r="L35" s="1366">
        <f t="shared" si="6"/>
        <v>0</v>
      </c>
      <c r="M35" s="1366">
        <f t="shared" si="7"/>
        <v>-133428.22894996672</v>
      </c>
    </row>
    <row r="36" spans="1:13" ht="14.25">
      <c r="A36" s="1185">
        <v>31</v>
      </c>
      <c r="B36" s="1186" t="s">
        <v>654</v>
      </c>
      <c r="C36" s="1351">
        <f>'[13]1_MFP &amp; Funded Membership'!$U39</f>
        <v>6454</v>
      </c>
      <c r="D36" s="1351">
        <f>'[16]Final 2-1-12 SIS'!$C41</f>
        <v>6451</v>
      </c>
      <c r="E36" s="1352">
        <f t="shared" si="1"/>
        <v>-3</v>
      </c>
      <c r="F36" s="1352">
        <f t="shared" si="2"/>
        <v>0</v>
      </c>
      <c r="G36" s="1352">
        <f t="shared" si="3"/>
        <v>-3</v>
      </c>
      <c r="H36" s="1353">
        <f>'Table 3 Levels 1&amp;2'!AL38</f>
        <v>4232.8839525109115</v>
      </c>
      <c r="I36" s="1353">
        <f>'Table 4 Level 3'!P36</f>
        <v>620.83000000000004</v>
      </c>
      <c r="J36" s="1353">
        <f t="shared" si="4"/>
        <v>2426.8569762554557</v>
      </c>
      <c r="K36" s="1354">
        <f t="shared" si="5"/>
        <v>-7280.5709287663667</v>
      </c>
      <c r="L36" s="1365">
        <f t="shared" si="6"/>
        <v>0</v>
      </c>
      <c r="M36" s="1365">
        <f t="shared" si="7"/>
        <v>-7280.5709287663667</v>
      </c>
    </row>
    <row r="37" spans="1:13" ht="14.25">
      <c r="A37" s="1185">
        <v>32</v>
      </c>
      <c r="B37" s="1186" t="s">
        <v>640</v>
      </c>
      <c r="C37" s="1351">
        <f>'[13]1_MFP &amp; Funded Membership'!$U40</f>
        <v>24422</v>
      </c>
      <c r="D37" s="1351">
        <f>'[16]Final 2-1-12 SIS'!$C42</f>
        <v>24352</v>
      </c>
      <c r="E37" s="1352">
        <f t="shared" si="1"/>
        <v>-70</v>
      </c>
      <c r="F37" s="1352">
        <f t="shared" si="2"/>
        <v>0</v>
      </c>
      <c r="G37" s="1352">
        <f t="shared" si="3"/>
        <v>-70</v>
      </c>
      <c r="H37" s="1353">
        <f>'Table 3 Levels 1&amp;2'!AL39</f>
        <v>5420.1173375514345</v>
      </c>
      <c r="I37" s="1353">
        <f>'Table 4 Level 3'!P37</f>
        <v>559.77</v>
      </c>
      <c r="J37" s="1353">
        <f t="shared" si="4"/>
        <v>2989.943668775717</v>
      </c>
      <c r="K37" s="1354">
        <f t="shared" si="5"/>
        <v>-209296.05681430019</v>
      </c>
      <c r="L37" s="1365">
        <f t="shared" si="6"/>
        <v>0</v>
      </c>
      <c r="M37" s="1365">
        <f t="shared" si="7"/>
        <v>-209296.05681430019</v>
      </c>
    </row>
    <row r="38" spans="1:13" ht="14.25">
      <c r="A38" s="1185">
        <v>33</v>
      </c>
      <c r="B38" s="1186" t="s">
        <v>938</v>
      </c>
      <c r="C38" s="1355">
        <f>'[13]1_MFP &amp; Funded Membership'!$U41</f>
        <v>1842</v>
      </c>
      <c r="D38" s="1355">
        <f>'[16]Final 2-1-12 SIS'!$C43</f>
        <v>1861</v>
      </c>
      <c r="E38" s="1352">
        <f t="shared" si="1"/>
        <v>19</v>
      </c>
      <c r="F38" s="1352">
        <f t="shared" si="2"/>
        <v>19</v>
      </c>
      <c r="G38" s="1352">
        <f t="shared" si="3"/>
        <v>0</v>
      </c>
      <c r="H38" s="1356">
        <f>'Table 3 Levels 1&amp;2'!AL40</f>
        <v>5722.9804748646293</v>
      </c>
      <c r="I38" s="1356">
        <f>'Table 4 Level 3'!P38</f>
        <v>655.31000000000006</v>
      </c>
      <c r="J38" s="1356">
        <f t="shared" si="4"/>
        <v>3189.1452374323148</v>
      </c>
      <c r="K38" s="1354">
        <f t="shared" si="5"/>
        <v>60593.759511213982</v>
      </c>
      <c r="L38" s="1365">
        <f t="shared" si="6"/>
        <v>60593.759511213982</v>
      </c>
      <c r="M38" s="1365">
        <f t="shared" si="7"/>
        <v>0</v>
      </c>
    </row>
    <row r="39" spans="1:13" ht="14.25">
      <c r="A39" s="1185">
        <v>34</v>
      </c>
      <c r="B39" s="1186" t="s">
        <v>939</v>
      </c>
      <c r="C39" s="1355">
        <f>'[13]1_MFP &amp; Funded Membership'!$U42</f>
        <v>4333</v>
      </c>
      <c r="D39" s="1355">
        <f>'[16]Final 2-1-12 SIS'!$C44</f>
        <v>4312</v>
      </c>
      <c r="E39" s="1352">
        <f t="shared" si="1"/>
        <v>-21</v>
      </c>
      <c r="F39" s="1352">
        <f t="shared" si="2"/>
        <v>0</v>
      </c>
      <c r="G39" s="1352">
        <f t="shared" si="3"/>
        <v>-21</v>
      </c>
      <c r="H39" s="1356">
        <f>'Table 3 Levels 1&amp;2'!AL41</f>
        <v>5764.7879674684991</v>
      </c>
      <c r="I39" s="1356">
        <f>'Table 4 Level 3'!P39</f>
        <v>644.11000000000013</v>
      </c>
      <c r="J39" s="1356">
        <f t="shared" si="4"/>
        <v>3204.4489837342499</v>
      </c>
      <c r="K39" s="1354">
        <f t="shared" si="5"/>
        <v>-67293.428658419245</v>
      </c>
      <c r="L39" s="1365">
        <f t="shared" si="6"/>
        <v>0</v>
      </c>
      <c r="M39" s="1365">
        <f t="shared" si="7"/>
        <v>-67293.428658419245</v>
      </c>
    </row>
    <row r="40" spans="1:13" ht="14.25">
      <c r="A40" s="1191">
        <v>35</v>
      </c>
      <c r="B40" s="1192" t="s">
        <v>940</v>
      </c>
      <c r="C40" s="1358">
        <f>'[13]1_MFP &amp; Funded Membership'!$U43</f>
        <v>6459</v>
      </c>
      <c r="D40" s="1358">
        <f>'[16]Final 2-1-12 SIS'!$C45</f>
        <v>6437</v>
      </c>
      <c r="E40" s="1359">
        <f t="shared" si="1"/>
        <v>-22</v>
      </c>
      <c r="F40" s="1359">
        <f t="shared" si="2"/>
        <v>0</v>
      </c>
      <c r="G40" s="1359">
        <f t="shared" si="3"/>
        <v>-22</v>
      </c>
      <c r="H40" s="1361">
        <f>'Table 3 Levels 1&amp;2'!AL42</f>
        <v>4964.5860960223672</v>
      </c>
      <c r="I40" s="1361">
        <f>'Table 4 Level 3'!P40</f>
        <v>537.96</v>
      </c>
      <c r="J40" s="1361">
        <f t="shared" si="4"/>
        <v>2751.2730480111836</v>
      </c>
      <c r="K40" s="1362">
        <f t="shared" si="5"/>
        <v>-60528.007056246039</v>
      </c>
      <c r="L40" s="1366">
        <f t="shared" si="6"/>
        <v>0</v>
      </c>
      <c r="M40" s="1366">
        <f t="shared" si="7"/>
        <v>-60528.007056246039</v>
      </c>
    </row>
    <row r="41" spans="1:13" ht="14.25">
      <c r="A41" s="1185">
        <v>36</v>
      </c>
      <c r="B41" s="1186" t="s">
        <v>662</v>
      </c>
      <c r="C41" s="1355">
        <f>'[13]1_MFP &amp; Funded Membership'!$U44</f>
        <v>10662</v>
      </c>
      <c r="D41" s="1355">
        <f>'[16]Final 2-1-12 SIS'!$C46</f>
        <v>10644</v>
      </c>
      <c r="E41" s="1352">
        <f t="shared" si="1"/>
        <v>-18</v>
      </c>
      <c r="F41" s="1352">
        <f t="shared" si="2"/>
        <v>0</v>
      </c>
      <c r="G41" s="1352">
        <f t="shared" si="3"/>
        <v>-18</v>
      </c>
      <c r="H41" s="1364">
        <f>'Table 5B1_RSD_Orleans'!D6</f>
        <v>3252.0270959716217</v>
      </c>
      <c r="I41" s="1368">
        <f>'Table 5B1_RSD_Orleans'!F6</f>
        <v>727.23177743956114</v>
      </c>
      <c r="J41" s="1356">
        <f t="shared" si="4"/>
        <v>1989.6294367055914</v>
      </c>
      <c r="K41" s="1354">
        <f t="shared" si="5"/>
        <v>-35813.329860700644</v>
      </c>
      <c r="L41" s="1365">
        <f t="shared" si="6"/>
        <v>0</v>
      </c>
      <c r="M41" s="1365">
        <f t="shared" si="7"/>
        <v>-35813.329860700644</v>
      </c>
    </row>
    <row r="42" spans="1:13" ht="14.25">
      <c r="A42" s="1185">
        <v>37</v>
      </c>
      <c r="B42" s="1186" t="s">
        <v>653</v>
      </c>
      <c r="C42" s="1351">
        <f>'[13]1_MFP &amp; Funded Membership'!$U45</f>
        <v>19271</v>
      </c>
      <c r="D42" s="1351">
        <f>'[16]Final 2-1-12 SIS'!$C47</f>
        <v>19222</v>
      </c>
      <c r="E42" s="1352">
        <f t="shared" si="1"/>
        <v>-49</v>
      </c>
      <c r="F42" s="1352">
        <f t="shared" si="2"/>
        <v>0</v>
      </c>
      <c r="G42" s="1352">
        <f t="shared" si="3"/>
        <v>-49</v>
      </c>
      <c r="H42" s="1353">
        <f>'Table 3 Levels 1&amp;2'!AL44</f>
        <v>5472.0894180640744</v>
      </c>
      <c r="I42" s="1353">
        <f>'Table 4 Level 3'!P42</f>
        <v>653.61</v>
      </c>
      <c r="J42" s="1353">
        <f t="shared" si="4"/>
        <v>3062.849709032037</v>
      </c>
      <c r="K42" s="1354">
        <f t="shared" si="5"/>
        <v>-150079.63574256981</v>
      </c>
      <c r="L42" s="1365">
        <f t="shared" si="6"/>
        <v>0</v>
      </c>
      <c r="M42" s="1365">
        <f t="shared" si="7"/>
        <v>-150079.63574256981</v>
      </c>
    </row>
    <row r="43" spans="1:13" ht="14.25">
      <c r="A43" s="1185">
        <v>38</v>
      </c>
      <c r="B43" s="1186" t="s">
        <v>673</v>
      </c>
      <c r="C43" s="1355">
        <f>'[13]1_MFP &amp; Funded Membership'!$U46</f>
        <v>3749</v>
      </c>
      <c r="D43" s="1355">
        <f>'[16]Final 2-1-12 SIS'!$C48</f>
        <v>3750</v>
      </c>
      <c r="E43" s="1352">
        <f t="shared" si="1"/>
        <v>1</v>
      </c>
      <c r="F43" s="1352">
        <f t="shared" si="2"/>
        <v>1</v>
      </c>
      <c r="G43" s="1352">
        <f t="shared" si="3"/>
        <v>0</v>
      </c>
      <c r="H43" s="1353">
        <f>'Table 3 Levels 1&amp;2'!AL45</f>
        <v>2396.5582752145924</v>
      </c>
      <c r="I43" s="1353">
        <f>'Table 4 Level 3'!P43</f>
        <v>829.92000000000007</v>
      </c>
      <c r="J43" s="1356">
        <f t="shared" si="4"/>
        <v>1613.2391376072962</v>
      </c>
      <c r="K43" s="1354">
        <f t="shared" si="5"/>
        <v>1613.2391376072962</v>
      </c>
      <c r="L43" s="1365">
        <f t="shared" si="6"/>
        <v>1613.2391376072962</v>
      </c>
      <c r="M43" s="1365">
        <f t="shared" si="7"/>
        <v>0</v>
      </c>
    </row>
    <row r="44" spans="1:13" ht="14.25">
      <c r="A44" s="1185">
        <v>39</v>
      </c>
      <c r="B44" s="1186" t="s">
        <v>941</v>
      </c>
      <c r="C44" s="1355">
        <f>'[13]1_MFP &amp; Funded Membership'!$U47</f>
        <v>2593</v>
      </c>
      <c r="D44" s="1355">
        <f>'[16]Final 2-1-12 SIS'!$C49</f>
        <v>2582</v>
      </c>
      <c r="E44" s="1352">
        <f t="shared" si="1"/>
        <v>-11</v>
      </c>
      <c r="F44" s="1352">
        <f t="shared" si="2"/>
        <v>0</v>
      </c>
      <c r="G44" s="1352">
        <f t="shared" si="3"/>
        <v>-11</v>
      </c>
      <c r="H44" s="1364">
        <f>'Table 5B2_RSD_LA'!D21</f>
        <v>3635.3042654739083</v>
      </c>
      <c r="I44" s="1364">
        <f>'Table 5B2_RSD_LA'!F21</f>
        <v>779.65573042776441</v>
      </c>
      <c r="J44" s="1356">
        <f t="shared" si="4"/>
        <v>2207.4799979508362</v>
      </c>
      <c r="K44" s="1354">
        <f t="shared" si="5"/>
        <v>-24282.279977459199</v>
      </c>
      <c r="L44" s="1365">
        <f t="shared" si="6"/>
        <v>0</v>
      </c>
      <c r="M44" s="1365">
        <f t="shared" si="7"/>
        <v>-24282.279977459199</v>
      </c>
    </row>
    <row r="45" spans="1:13" ht="14.25">
      <c r="A45" s="1191">
        <v>40</v>
      </c>
      <c r="B45" s="1192" t="s">
        <v>942</v>
      </c>
      <c r="C45" s="1358">
        <f>'[13]1_MFP &amp; Funded Membership'!$U48</f>
        <v>23074</v>
      </c>
      <c r="D45" s="1358">
        <f>'[16]Final 2-1-12 SIS'!$C50</f>
        <v>22934</v>
      </c>
      <c r="E45" s="1359">
        <f t="shared" si="1"/>
        <v>-140</v>
      </c>
      <c r="F45" s="1359">
        <f t="shared" si="2"/>
        <v>0</v>
      </c>
      <c r="G45" s="1359">
        <f t="shared" si="3"/>
        <v>-140</v>
      </c>
      <c r="H45" s="1361">
        <f>'Table 3 Levels 1&amp;2'!AL47</f>
        <v>4798.7684239124856</v>
      </c>
      <c r="I45" s="1361">
        <f>'Table 4 Level 3'!P45</f>
        <v>700.2700000000001</v>
      </c>
      <c r="J45" s="1361">
        <f t="shared" si="4"/>
        <v>2749.519211956243</v>
      </c>
      <c r="K45" s="1362">
        <f t="shared" si="5"/>
        <v>-384932.689673874</v>
      </c>
      <c r="L45" s="1366">
        <f t="shared" si="6"/>
        <v>0</v>
      </c>
      <c r="M45" s="1366">
        <f t="shared" si="7"/>
        <v>-384932.689673874</v>
      </c>
    </row>
    <row r="46" spans="1:13" ht="14.25">
      <c r="A46" s="1185">
        <v>41</v>
      </c>
      <c r="B46" s="1186" t="s">
        <v>943</v>
      </c>
      <c r="C46" s="1351">
        <f>'[13]1_MFP &amp; Funded Membership'!$U49</f>
        <v>1410</v>
      </c>
      <c r="D46" s="1351">
        <f>'[16]Final 2-1-12 SIS'!$C51</f>
        <v>1401</v>
      </c>
      <c r="E46" s="1352">
        <f t="shared" si="1"/>
        <v>-9</v>
      </c>
      <c r="F46" s="1352">
        <f t="shared" si="2"/>
        <v>0</v>
      </c>
      <c r="G46" s="1352">
        <f t="shared" si="3"/>
        <v>-9</v>
      </c>
      <c r="H46" s="1353">
        <f>'Table 3 Levels 1&amp;2'!AL48</f>
        <v>2247.7949790794978</v>
      </c>
      <c r="I46" s="1353">
        <f>'Table 4 Level 3'!P46</f>
        <v>886.22</v>
      </c>
      <c r="J46" s="1353">
        <f t="shared" si="4"/>
        <v>1567.0074895397488</v>
      </c>
      <c r="K46" s="1354">
        <f t="shared" si="5"/>
        <v>-14103.067405857739</v>
      </c>
      <c r="L46" s="1365">
        <f t="shared" si="6"/>
        <v>0</v>
      </c>
      <c r="M46" s="1365">
        <f t="shared" si="7"/>
        <v>-14103.067405857739</v>
      </c>
    </row>
    <row r="47" spans="1:13" ht="14.25">
      <c r="A47" s="1185">
        <v>42</v>
      </c>
      <c r="B47" s="1186" t="s">
        <v>944</v>
      </c>
      <c r="C47" s="1351">
        <f>'[13]1_MFP &amp; Funded Membership'!$U50</f>
        <v>3394</v>
      </c>
      <c r="D47" s="1351">
        <f>'[16]Final 2-1-12 SIS'!$C52</f>
        <v>3424</v>
      </c>
      <c r="E47" s="1352">
        <f t="shared" si="1"/>
        <v>30</v>
      </c>
      <c r="F47" s="1352">
        <f t="shared" si="2"/>
        <v>30</v>
      </c>
      <c r="G47" s="1352">
        <f t="shared" si="3"/>
        <v>0</v>
      </c>
      <c r="H47" s="1353">
        <f>'Table 3 Levels 1&amp;2'!AL49</f>
        <v>5501.0856550306853</v>
      </c>
      <c r="I47" s="1353">
        <f>'Table 4 Level 3'!P47</f>
        <v>534.28</v>
      </c>
      <c r="J47" s="1353">
        <f t="shared" si="4"/>
        <v>3017.6828275153425</v>
      </c>
      <c r="K47" s="1354">
        <f t="shared" si="5"/>
        <v>90530.484825460269</v>
      </c>
      <c r="L47" s="1365">
        <f t="shared" si="6"/>
        <v>90530.484825460269</v>
      </c>
      <c r="M47" s="1365">
        <f t="shared" si="7"/>
        <v>0</v>
      </c>
    </row>
    <row r="48" spans="1:13" ht="14.25">
      <c r="A48" s="1185">
        <v>43</v>
      </c>
      <c r="B48" s="1186" t="s">
        <v>945</v>
      </c>
      <c r="C48" s="1355">
        <f>'[13]1_MFP &amp; Funded Membership'!$U51</f>
        <v>3956</v>
      </c>
      <c r="D48" s="1355">
        <f>'[16]Final 2-1-12 SIS'!$C53</f>
        <v>3965</v>
      </c>
      <c r="E48" s="1352">
        <f t="shared" si="1"/>
        <v>9</v>
      </c>
      <c r="F48" s="1352">
        <f t="shared" si="2"/>
        <v>9</v>
      </c>
      <c r="G48" s="1352">
        <f t="shared" si="3"/>
        <v>0</v>
      </c>
      <c r="H48" s="1356">
        <f>'Table 3 Levels 1&amp;2'!AL50</f>
        <v>5962.5822210132128</v>
      </c>
      <c r="I48" s="1356">
        <f>'Table 4 Level 3'!P48</f>
        <v>574.6099999999999</v>
      </c>
      <c r="J48" s="1356">
        <f t="shared" si="4"/>
        <v>3268.5961105066062</v>
      </c>
      <c r="K48" s="1354">
        <f t="shared" si="5"/>
        <v>29417.364994559455</v>
      </c>
      <c r="L48" s="1365">
        <f t="shared" si="6"/>
        <v>29417.364994559455</v>
      </c>
      <c r="M48" s="1365">
        <f t="shared" si="7"/>
        <v>0</v>
      </c>
    </row>
    <row r="49" spans="1:13" ht="14.25">
      <c r="A49" s="1185">
        <v>44</v>
      </c>
      <c r="B49" s="1186" t="s">
        <v>664</v>
      </c>
      <c r="C49" s="1355">
        <f>'[13]1_MFP &amp; Funded Membership'!$U52</f>
        <v>5804</v>
      </c>
      <c r="D49" s="1355">
        <f>'[16]Final 2-1-12 SIS'!$C54</f>
        <v>5846</v>
      </c>
      <c r="E49" s="1352">
        <f t="shared" si="1"/>
        <v>42</v>
      </c>
      <c r="F49" s="1352">
        <f t="shared" si="2"/>
        <v>42</v>
      </c>
      <c r="G49" s="1352">
        <f t="shared" si="3"/>
        <v>0</v>
      </c>
      <c r="H49" s="1356">
        <f>'Table 3 Levels 1&amp;2'!AL51</f>
        <v>4357.2434646748297</v>
      </c>
      <c r="I49" s="1356">
        <f>'Table 4 Level 3'!P49</f>
        <v>663.16000000000008</v>
      </c>
      <c r="J49" s="1356">
        <f t="shared" si="4"/>
        <v>2510.2017323374148</v>
      </c>
      <c r="K49" s="1354">
        <f t="shared" si="5"/>
        <v>105428.47275817143</v>
      </c>
      <c r="L49" s="1365">
        <f t="shared" si="6"/>
        <v>105428.47275817143</v>
      </c>
      <c r="M49" s="1365">
        <f t="shared" si="7"/>
        <v>0</v>
      </c>
    </row>
    <row r="50" spans="1:13" ht="14.25">
      <c r="A50" s="1191">
        <v>45</v>
      </c>
      <c r="B50" s="1192" t="s">
        <v>665</v>
      </c>
      <c r="C50" s="1358">
        <f>'[13]1_MFP &amp; Funded Membership'!$U53</f>
        <v>9495</v>
      </c>
      <c r="D50" s="1358">
        <f>'[16]Final 2-1-12 SIS'!$C55</f>
        <v>9402</v>
      </c>
      <c r="E50" s="1359">
        <f t="shared" si="1"/>
        <v>-93</v>
      </c>
      <c r="F50" s="1359">
        <f t="shared" si="2"/>
        <v>0</v>
      </c>
      <c r="G50" s="1359">
        <f t="shared" si="3"/>
        <v>-93</v>
      </c>
      <c r="H50" s="1361">
        <f>'Table 3 Levels 1&amp;2'!AL52</f>
        <v>2430.4793213149524</v>
      </c>
      <c r="I50" s="1361">
        <f>'Table 4 Level 3'!P50</f>
        <v>753.96000000000015</v>
      </c>
      <c r="J50" s="1361">
        <f t="shared" si="4"/>
        <v>1592.2196606574762</v>
      </c>
      <c r="K50" s="1362">
        <f>E50*J50</f>
        <v>-148076.42844114528</v>
      </c>
      <c r="L50" s="1366">
        <f t="shared" si="6"/>
        <v>0</v>
      </c>
      <c r="M50" s="1366">
        <f t="shared" si="7"/>
        <v>-148076.42844114528</v>
      </c>
    </row>
    <row r="51" spans="1:13" ht="14.25">
      <c r="A51" s="1185">
        <v>46</v>
      </c>
      <c r="B51" s="1186" t="s">
        <v>946</v>
      </c>
      <c r="C51" s="1351">
        <f>'[13]1_MFP &amp; Funded Membership'!$U54</f>
        <v>755</v>
      </c>
      <c r="D51" s="1351">
        <f>'[16]Final 2-1-12 SIS'!$C56</f>
        <v>760</v>
      </c>
      <c r="E51" s="1352">
        <f t="shared" si="1"/>
        <v>5</v>
      </c>
      <c r="F51" s="1352">
        <f t="shared" si="2"/>
        <v>5</v>
      </c>
      <c r="G51" s="1352">
        <f t="shared" si="3"/>
        <v>0</v>
      </c>
      <c r="H51" s="1364">
        <f>'Table 5B2_RSD_LA'!D33</f>
        <v>5802.1110099800544</v>
      </c>
      <c r="I51" s="1364">
        <f>'Table 5B2_RSD_LA'!F33</f>
        <v>728.06</v>
      </c>
      <c r="J51" s="1353">
        <f t="shared" si="4"/>
        <v>3265.0855049900274</v>
      </c>
      <c r="K51" s="1354">
        <f t="shared" si="5"/>
        <v>16325.427524950137</v>
      </c>
      <c r="L51" s="1365">
        <f t="shared" si="6"/>
        <v>16325.427524950137</v>
      </c>
      <c r="M51" s="1365">
        <f t="shared" si="7"/>
        <v>0</v>
      </c>
    </row>
    <row r="52" spans="1:13" ht="14.25">
      <c r="A52" s="1185">
        <v>47</v>
      </c>
      <c r="B52" s="1186" t="s">
        <v>947</v>
      </c>
      <c r="C52" s="1351">
        <f>'[13]1_MFP &amp; Funded Membership'!$U55</f>
        <v>3659</v>
      </c>
      <c r="D52" s="1351">
        <f>'[16]Final 2-1-12 SIS'!$C57</f>
        <v>3636</v>
      </c>
      <c r="E52" s="1352">
        <f t="shared" si="1"/>
        <v>-23</v>
      </c>
      <c r="F52" s="1352">
        <f t="shared" si="2"/>
        <v>0</v>
      </c>
      <c r="G52" s="1352">
        <f t="shared" si="3"/>
        <v>-23</v>
      </c>
      <c r="H52" s="1353">
        <f>'Table 3 Levels 1&amp;2'!AL54</f>
        <v>3442.3675138747039</v>
      </c>
      <c r="I52" s="1353">
        <f>'Table 4 Level 3'!P52</f>
        <v>910.76</v>
      </c>
      <c r="J52" s="1353">
        <f t="shared" si="4"/>
        <v>2176.5637569373521</v>
      </c>
      <c r="K52" s="1354">
        <f t="shared" si="5"/>
        <v>-50060.9664095591</v>
      </c>
      <c r="L52" s="1365">
        <f t="shared" si="6"/>
        <v>0</v>
      </c>
      <c r="M52" s="1365">
        <f t="shared" si="7"/>
        <v>-50060.9664095591</v>
      </c>
    </row>
    <row r="53" spans="1:13" ht="14.25">
      <c r="A53" s="1185">
        <v>48</v>
      </c>
      <c r="B53" s="1186" t="s">
        <v>948</v>
      </c>
      <c r="C53" s="1355">
        <f>'[13]1_MFP &amp; Funded Membership'!$U56</f>
        <v>6147</v>
      </c>
      <c r="D53" s="1355">
        <f>'[16]Final 2-1-12 SIS'!$C58</f>
        <v>6202</v>
      </c>
      <c r="E53" s="1352">
        <f t="shared" si="1"/>
        <v>55</v>
      </c>
      <c r="F53" s="1352">
        <f t="shared" si="2"/>
        <v>55</v>
      </c>
      <c r="G53" s="1352">
        <f t="shared" si="3"/>
        <v>0</v>
      </c>
      <c r="H53" s="1356">
        <f>'Table 3 Levels 1&amp;2'!AL55</f>
        <v>3462.9674441491134</v>
      </c>
      <c r="I53" s="1356">
        <f>'Table 4 Level 3'!P53</f>
        <v>871.07</v>
      </c>
      <c r="J53" s="1356">
        <f t="shared" si="4"/>
        <v>2167.0187220745565</v>
      </c>
      <c r="K53" s="1354">
        <f t="shared" si="5"/>
        <v>119186.02971410062</v>
      </c>
      <c r="L53" s="1365">
        <f t="shared" si="6"/>
        <v>119186.02971410062</v>
      </c>
      <c r="M53" s="1365">
        <f t="shared" si="7"/>
        <v>0</v>
      </c>
    </row>
    <row r="54" spans="1:13" ht="14.25">
      <c r="A54" s="1185">
        <v>49</v>
      </c>
      <c r="B54" s="1186" t="s">
        <v>949</v>
      </c>
      <c r="C54" s="1355">
        <f>'[13]1_MFP &amp; Funded Membership'!$U57</f>
        <v>14412</v>
      </c>
      <c r="D54" s="1355">
        <f>'[16]Final 2-1-12 SIS'!$C59</f>
        <v>14392</v>
      </c>
      <c r="E54" s="1352">
        <f t="shared" si="1"/>
        <v>-20</v>
      </c>
      <c r="F54" s="1352">
        <f t="shared" si="2"/>
        <v>0</v>
      </c>
      <c r="G54" s="1352">
        <f t="shared" si="3"/>
        <v>-20</v>
      </c>
      <c r="H54" s="1356">
        <f>'Table 3 Levels 1&amp;2'!AL56</f>
        <v>4869.8026620686687</v>
      </c>
      <c r="I54" s="1356">
        <f>'Table 4 Level 3'!P54</f>
        <v>574.43999999999994</v>
      </c>
      <c r="J54" s="1356">
        <f t="shared" si="4"/>
        <v>2722.1213310343342</v>
      </c>
      <c r="K54" s="1354">
        <f t="shared" si="5"/>
        <v>-54442.426620686681</v>
      </c>
      <c r="L54" s="1365">
        <f t="shared" si="6"/>
        <v>0</v>
      </c>
      <c r="M54" s="1365">
        <f t="shared" si="7"/>
        <v>-54442.426620686681</v>
      </c>
    </row>
    <row r="55" spans="1:13" ht="14.25">
      <c r="A55" s="1191">
        <v>50</v>
      </c>
      <c r="B55" s="1192" t="s">
        <v>950</v>
      </c>
      <c r="C55" s="1358">
        <f>'[13]1_MFP &amp; Funded Membership'!$U58</f>
        <v>8105</v>
      </c>
      <c r="D55" s="1358">
        <f>'[16]Final 2-1-12 SIS'!$C60</f>
        <v>7962</v>
      </c>
      <c r="E55" s="1359">
        <f t="shared" si="1"/>
        <v>-143</v>
      </c>
      <c r="F55" s="1359">
        <f t="shared" si="2"/>
        <v>0</v>
      </c>
      <c r="G55" s="1359">
        <f t="shared" si="3"/>
        <v>-143</v>
      </c>
      <c r="H55" s="1361">
        <f>'Table 3 Levels 1&amp;2'!AL57</f>
        <v>5066.3682883964984</v>
      </c>
      <c r="I55" s="1361">
        <f>'Table 4 Level 3'!P55</f>
        <v>634.46</v>
      </c>
      <c r="J55" s="1361">
        <f t="shared" si="4"/>
        <v>2850.4141441982492</v>
      </c>
      <c r="K55" s="1362">
        <f t="shared" si="5"/>
        <v>-407609.22262034967</v>
      </c>
      <c r="L55" s="1366">
        <f t="shared" si="6"/>
        <v>0</v>
      </c>
      <c r="M55" s="1366">
        <f t="shared" si="7"/>
        <v>-407609.22262034967</v>
      </c>
    </row>
    <row r="56" spans="1:13" ht="14.25">
      <c r="A56" s="1185">
        <v>51</v>
      </c>
      <c r="B56" s="1186" t="s">
        <v>951</v>
      </c>
      <c r="C56" s="1351">
        <f>'[13]1_MFP &amp; Funded Membership'!$U59</f>
        <v>9106</v>
      </c>
      <c r="D56" s="1351">
        <f>'[16]Final 2-1-12 SIS'!$C61</f>
        <v>9038</v>
      </c>
      <c r="E56" s="1352">
        <f t="shared" si="1"/>
        <v>-68</v>
      </c>
      <c r="F56" s="1352">
        <f t="shared" si="2"/>
        <v>0</v>
      </c>
      <c r="G56" s="1352">
        <f t="shared" si="3"/>
        <v>-68</v>
      </c>
      <c r="H56" s="1353">
        <f>'Table 3 Levels 1&amp;2'!AL58</f>
        <v>4538.5765423983985</v>
      </c>
      <c r="I56" s="1353">
        <f>'Table 4 Level 3'!P56</f>
        <v>706.66</v>
      </c>
      <c r="J56" s="1353">
        <f t="shared" si="4"/>
        <v>2622.6182711991992</v>
      </c>
      <c r="K56" s="1354">
        <f t="shared" si="5"/>
        <v>-178338.04244154555</v>
      </c>
      <c r="L56" s="1365">
        <f t="shared" si="6"/>
        <v>0</v>
      </c>
      <c r="M56" s="1365">
        <f t="shared" si="7"/>
        <v>-178338.04244154555</v>
      </c>
    </row>
    <row r="57" spans="1:13" ht="14.25">
      <c r="A57" s="1185">
        <v>52</v>
      </c>
      <c r="B57" s="1186" t="s">
        <v>667</v>
      </c>
      <c r="C57" s="1351">
        <f>'[13]1_MFP &amp; Funded Membership'!$U60</f>
        <v>36605</v>
      </c>
      <c r="D57" s="1351">
        <f>'[16]Final 2-1-12 SIS'!$C62</f>
        <v>36392</v>
      </c>
      <c r="E57" s="1352">
        <f t="shared" si="1"/>
        <v>-213</v>
      </c>
      <c r="F57" s="1352">
        <f t="shared" si="2"/>
        <v>0</v>
      </c>
      <c r="G57" s="1352">
        <f t="shared" si="3"/>
        <v>-213</v>
      </c>
      <c r="H57" s="1353">
        <f>'Table 3 Levels 1&amp;2'!AL59</f>
        <v>4986.190392708143</v>
      </c>
      <c r="I57" s="1353">
        <f>'Table 4 Level 3'!P57</f>
        <v>658.37</v>
      </c>
      <c r="J57" s="1353">
        <f t="shared" si="4"/>
        <v>2822.2801963540714</v>
      </c>
      <c r="K57" s="1354">
        <f t="shared" si="5"/>
        <v>-601145.6818234172</v>
      </c>
      <c r="L57" s="1365">
        <f t="shared" si="6"/>
        <v>0</v>
      </c>
      <c r="M57" s="1365">
        <f t="shared" si="7"/>
        <v>-601145.6818234172</v>
      </c>
    </row>
    <row r="58" spans="1:13" ht="14.25">
      <c r="A58" s="1185">
        <v>53</v>
      </c>
      <c r="B58" s="1186" t="s">
        <v>952</v>
      </c>
      <c r="C58" s="1355">
        <f>'[13]1_MFP &amp; Funded Membership'!$U61</f>
        <v>18927</v>
      </c>
      <c r="D58" s="1355">
        <f>'[16]Final 2-1-12 SIS'!$C63</f>
        <v>18933</v>
      </c>
      <c r="E58" s="1352">
        <f t="shared" si="1"/>
        <v>6</v>
      </c>
      <c r="F58" s="1352">
        <f t="shared" si="2"/>
        <v>6</v>
      </c>
      <c r="G58" s="1352">
        <f t="shared" si="3"/>
        <v>0</v>
      </c>
      <c r="H58" s="1356">
        <f>'Table 3 Levels 1&amp;2'!AL60</f>
        <v>4745.3141126436039</v>
      </c>
      <c r="I58" s="1356">
        <f>'Table 4 Level 3'!P58</f>
        <v>689.74</v>
      </c>
      <c r="J58" s="1356">
        <f t="shared" si="4"/>
        <v>2717.5270563218019</v>
      </c>
      <c r="K58" s="1354">
        <f t="shared" si="5"/>
        <v>16305.162337930811</v>
      </c>
      <c r="L58" s="1365">
        <f t="shared" si="6"/>
        <v>16305.162337930811</v>
      </c>
      <c r="M58" s="1365">
        <f t="shared" si="7"/>
        <v>0</v>
      </c>
    </row>
    <row r="59" spans="1:13" ht="14.25">
      <c r="A59" s="1185">
        <v>54</v>
      </c>
      <c r="B59" s="1186" t="s">
        <v>953</v>
      </c>
      <c r="C59" s="1355">
        <f>'[13]1_MFP &amp; Funded Membership'!$U62</f>
        <v>708</v>
      </c>
      <c r="D59" s="1355">
        <f>'[16]Final 2-1-12 SIS'!$C64</f>
        <v>697</v>
      </c>
      <c r="E59" s="1352">
        <f t="shared" si="1"/>
        <v>-11</v>
      </c>
      <c r="F59" s="1352">
        <f t="shared" si="2"/>
        <v>0</v>
      </c>
      <c r="G59" s="1352">
        <f t="shared" si="3"/>
        <v>-11</v>
      </c>
      <c r="H59" s="1356">
        <f>'Table 3 Levels 1&amp;2'!AL61</f>
        <v>5654.2931072000001</v>
      </c>
      <c r="I59" s="1356">
        <f>'Table 4 Level 3'!P59</f>
        <v>951.45</v>
      </c>
      <c r="J59" s="1356">
        <f t="shared" si="4"/>
        <v>3302.8715536</v>
      </c>
      <c r="K59" s="1354">
        <f t="shared" si="5"/>
        <v>-36331.587089599998</v>
      </c>
      <c r="L59" s="1365">
        <f t="shared" si="6"/>
        <v>0</v>
      </c>
      <c r="M59" s="1365">
        <f t="shared" si="7"/>
        <v>-36331.587089599998</v>
      </c>
    </row>
    <row r="60" spans="1:13" ht="14.25">
      <c r="A60" s="1191">
        <v>55</v>
      </c>
      <c r="B60" s="1192" t="s">
        <v>954</v>
      </c>
      <c r="C60" s="1358">
        <f>'[13]1_MFP &amp; Funded Membership'!$U63</f>
        <v>17756</v>
      </c>
      <c r="D60" s="1358">
        <f>'[16]Final 2-1-12 SIS'!$C65</f>
        <v>17649</v>
      </c>
      <c r="E60" s="1359">
        <f t="shared" si="1"/>
        <v>-107</v>
      </c>
      <c r="F60" s="1359">
        <f t="shared" si="2"/>
        <v>0</v>
      </c>
      <c r="G60" s="1359">
        <f t="shared" si="3"/>
        <v>-107</v>
      </c>
      <c r="H60" s="1361">
        <f>'Table 3 Levels 1&amp;2'!AL62</f>
        <v>4068.6090059276312</v>
      </c>
      <c r="I60" s="1361">
        <f>'Table 4 Level 3'!P60</f>
        <v>795.14</v>
      </c>
      <c r="J60" s="1361">
        <f t="shared" si="4"/>
        <v>2431.8745029638158</v>
      </c>
      <c r="K60" s="1362">
        <f t="shared" si="5"/>
        <v>-260210.57181712828</v>
      </c>
      <c r="L60" s="1366">
        <f t="shared" si="6"/>
        <v>0</v>
      </c>
      <c r="M60" s="1366">
        <f t="shared" si="7"/>
        <v>-260210.57181712828</v>
      </c>
    </row>
    <row r="61" spans="1:13" ht="14.25">
      <c r="A61" s="1185">
        <v>56</v>
      </c>
      <c r="B61" s="1186" t="s">
        <v>652</v>
      </c>
      <c r="C61" s="1351">
        <f>'[13]1_MFP &amp; Funded Membership'!$U64</f>
        <v>2504</v>
      </c>
      <c r="D61" s="1351">
        <f>'[16]Final 2-1-12 SIS'!$C66</f>
        <v>2473</v>
      </c>
      <c r="E61" s="1352">
        <f t="shared" si="1"/>
        <v>-31</v>
      </c>
      <c r="F61" s="1352">
        <f t="shared" si="2"/>
        <v>0</v>
      </c>
      <c r="G61" s="1352">
        <f t="shared" si="3"/>
        <v>-31</v>
      </c>
      <c r="H61" s="1353">
        <f>'Table 3 Levels 1&amp;2'!AL63</f>
        <v>5099.6603048621055</v>
      </c>
      <c r="I61" s="1353">
        <f>'Table 4 Level 3'!P61</f>
        <v>614.66000000000008</v>
      </c>
      <c r="J61" s="1353">
        <f t="shared" si="4"/>
        <v>2857.1601524310527</v>
      </c>
      <c r="K61" s="1354">
        <f t="shared" si="5"/>
        <v>-88571.964725362632</v>
      </c>
      <c r="L61" s="1365">
        <f t="shared" si="6"/>
        <v>0</v>
      </c>
      <c r="M61" s="1365">
        <f t="shared" si="7"/>
        <v>-88571.964725362632</v>
      </c>
    </row>
    <row r="62" spans="1:13" ht="14.25">
      <c r="A62" s="1185">
        <v>57</v>
      </c>
      <c r="B62" s="1186" t="s">
        <v>955</v>
      </c>
      <c r="C62" s="1351">
        <f>'[13]1_MFP &amp; Funded Membership'!$U65</f>
        <v>8859</v>
      </c>
      <c r="D62" s="1351">
        <f>'[16]Final 2-1-12 SIS'!$C67</f>
        <v>8853</v>
      </c>
      <c r="E62" s="1352">
        <f t="shared" si="1"/>
        <v>-6</v>
      </c>
      <c r="F62" s="1352">
        <f t="shared" si="2"/>
        <v>0</v>
      </c>
      <c r="G62" s="1352">
        <f t="shared" si="3"/>
        <v>-6</v>
      </c>
      <c r="H62" s="1353">
        <f>'Table 3 Levels 1&amp;2'!AL64</f>
        <v>4523.0865224363679</v>
      </c>
      <c r="I62" s="1353">
        <f>'Table 4 Level 3'!P62</f>
        <v>764.51</v>
      </c>
      <c r="J62" s="1353">
        <f t="shared" si="4"/>
        <v>2643.7982612181841</v>
      </c>
      <c r="K62" s="1354">
        <f t="shared" si="5"/>
        <v>-15862.789567309104</v>
      </c>
      <c r="L62" s="1365">
        <f t="shared" si="6"/>
        <v>0</v>
      </c>
      <c r="M62" s="1365">
        <f t="shared" si="7"/>
        <v>-15862.789567309104</v>
      </c>
    </row>
    <row r="63" spans="1:13" ht="14.25">
      <c r="A63" s="1185">
        <v>58</v>
      </c>
      <c r="B63" s="1186" t="s">
        <v>956</v>
      </c>
      <c r="C63" s="1355">
        <f>'[13]1_MFP &amp; Funded Membership'!$U66</f>
        <v>9496</v>
      </c>
      <c r="D63" s="1355">
        <f>'[16]Final 2-1-12 SIS'!$C68</f>
        <v>9438</v>
      </c>
      <c r="E63" s="1352">
        <f t="shared" si="1"/>
        <v>-58</v>
      </c>
      <c r="F63" s="1352">
        <f t="shared" si="2"/>
        <v>0</v>
      </c>
      <c r="G63" s="1352">
        <f t="shared" si="3"/>
        <v>-58</v>
      </c>
      <c r="H63" s="1356">
        <f>'Table 3 Levels 1&amp;2'!AL65</f>
        <v>5284.9650337431467</v>
      </c>
      <c r="I63" s="1356">
        <f>'Table 4 Level 3'!P63</f>
        <v>697.04</v>
      </c>
      <c r="J63" s="1356">
        <f t="shared" si="4"/>
        <v>2991.0025168715733</v>
      </c>
      <c r="K63" s="1354">
        <f t="shared" si="5"/>
        <v>-173478.14597855124</v>
      </c>
      <c r="L63" s="1365">
        <f t="shared" si="6"/>
        <v>0</v>
      </c>
      <c r="M63" s="1365">
        <f t="shared" si="7"/>
        <v>-173478.14597855124</v>
      </c>
    </row>
    <row r="64" spans="1:13" ht="14.25">
      <c r="A64" s="1185">
        <v>59</v>
      </c>
      <c r="B64" s="1186" t="s">
        <v>957</v>
      </c>
      <c r="C64" s="1355">
        <f>'[13]1_MFP &amp; Funded Membership'!$U67</f>
        <v>5170</v>
      </c>
      <c r="D64" s="1355">
        <f>'[16]Final 2-1-12 SIS'!$C69</f>
        <v>5160</v>
      </c>
      <c r="E64" s="1352">
        <f t="shared" si="1"/>
        <v>-10</v>
      </c>
      <c r="F64" s="1352">
        <f t="shared" si="2"/>
        <v>0</v>
      </c>
      <c r="G64" s="1352">
        <f t="shared" si="3"/>
        <v>-10</v>
      </c>
      <c r="H64" s="1356">
        <f>'Table 3 Levels 1&amp;2'!AL66</f>
        <v>6210.8635809266952</v>
      </c>
      <c r="I64" s="1356">
        <f>'Table 4 Level 3'!P64</f>
        <v>689.52</v>
      </c>
      <c r="J64" s="1356">
        <f t="shared" si="4"/>
        <v>3450.1917904633474</v>
      </c>
      <c r="K64" s="1354">
        <f t="shared" si="5"/>
        <v>-34501.917904633476</v>
      </c>
      <c r="L64" s="1365">
        <f t="shared" si="6"/>
        <v>0</v>
      </c>
      <c r="M64" s="1365">
        <f t="shared" si="7"/>
        <v>-34501.917904633476</v>
      </c>
    </row>
    <row r="65" spans="1:13" ht="14.25">
      <c r="A65" s="1191">
        <v>60</v>
      </c>
      <c r="B65" s="1192" t="s">
        <v>958</v>
      </c>
      <c r="C65" s="1358">
        <f>'[13]1_MFP &amp; Funded Membership'!$U68</f>
        <v>6504</v>
      </c>
      <c r="D65" s="1358">
        <f>'[16]Final 2-1-12 SIS'!$C70</f>
        <v>6435</v>
      </c>
      <c r="E65" s="1359">
        <f t="shared" si="1"/>
        <v>-69</v>
      </c>
      <c r="F65" s="1359">
        <f t="shared" si="2"/>
        <v>0</v>
      </c>
      <c r="G65" s="1359">
        <f t="shared" si="3"/>
        <v>-69</v>
      </c>
      <c r="H65" s="1361">
        <f>'Table 3 Levels 1&amp;2'!AL67</f>
        <v>4913.8571659925656</v>
      </c>
      <c r="I65" s="1361">
        <f>'Table 4 Level 3'!P65</f>
        <v>594.04</v>
      </c>
      <c r="J65" s="1361">
        <f t="shared" si="4"/>
        <v>2753.9485829962828</v>
      </c>
      <c r="K65" s="1362">
        <f t="shared" si="5"/>
        <v>-190022.45222674351</v>
      </c>
      <c r="L65" s="1366">
        <f t="shared" si="6"/>
        <v>0</v>
      </c>
      <c r="M65" s="1366">
        <f t="shared" si="7"/>
        <v>-190022.45222674351</v>
      </c>
    </row>
    <row r="66" spans="1:13" ht="14.25">
      <c r="A66" s="1185">
        <v>61</v>
      </c>
      <c r="B66" s="1186" t="s">
        <v>959</v>
      </c>
      <c r="C66" s="1351">
        <f>'[13]1_MFP &amp; Funded Membership'!$U69</f>
        <v>3574</v>
      </c>
      <c r="D66" s="1351">
        <f>'[16]Final 2-1-12 SIS'!$C71</f>
        <v>3521</v>
      </c>
      <c r="E66" s="1352">
        <f t="shared" si="1"/>
        <v>-53</v>
      </c>
      <c r="F66" s="1352">
        <f t="shared" si="2"/>
        <v>0</v>
      </c>
      <c r="G66" s="1352">
        <f t="shared" si="3"/>
        <v>-53</v>
      </c>
      <c r="H66" s="1353">
        <f>'Table 3 Levels 1&amp;2'!AL68</f>
        <v>2923.8505881664551</v>
      </c>
      <c r="I66" s="1353">
        <f>'Table 4 Level 3'!P66</f>
        <v>833.70999999999992</v>
      </c>
      <c r="J66" s="1353">
        <f t="shared" si="4"/>
        <v>1878.7802940832275</v>
      </c>
      <c r="K66" s="1354">
        <f t="shared" si="5"/>
        <v>-99575.355586411053</v>
      </c>
      <c r="L66" s="1365">
        <f t="shared" si="6"/>
        <v>0</v>
      </c>
      <c r="M66" s="1365">
        <f t="shared" si="7"/>
        <v>-99575.355586411053</v>
      </c>
    </row>
    <row r="67" spans="1:13" ht="14.25">
      <c r="A67" s="1185">
        <v>62</v>
      </c>
      <c r="B67" s="1186" t="s">
        <v>960</v>
      </c>
      <c r="C67" s="1351">
        <f>'[13]1_MFP &amp; Funded Membership'!$U70</f>
        <v>2091</v>
      </c>
      <c r="D67" s="1351">
        <f>'[16]Final 2-1-12 SIS'!$C72</f>
        <v>2097</v>
      </c>
      <c r="E67" s="1352">
        <f t="shared" si="1"/>
        <v>6</v>
      </c>
      <c r="F67" s="1352">
        <f t="shared" si="2"/>
        <v>6</v>
      </c>
      <c r="G67" s="1352">
        <f t="shared" si="3"/>
        <v>0</v>
      </c>
      <c r="H67" s="1353">
        <f>'Table 3 Levels 1&amp;2'!AL69</f>
        <v>5502.7243622016967</v>
      </c>
      <c r="I67" s="1353">
        <f>'Table 4 Level 3'!P67</f>
        <v>516.08000000000004</v>
      </c>
      <c r="J67" s="1353">
        <f t="shared" si="4"/>
        <v>3009.4021811008483</v>
      </c>
      <c r="K67" s="1354">
        <f t="shared" si="5"/>
        <v>18056.413086605091</v>
      </c>
      <c r="L67" s="1365">
        <f t="shared" si="6"/>
        <v>18056.413086605091</v>
      </c>
      <c r="M67" s="1365">
        <f t="shared" si="7"/>
        <v>0</v>
      </c>
    </row>
    <row r="68" spans="1:13" ht="14.25">
      <c r="A68" s="1185">
        <v>63</v>
      </c>
      <c r="B68" s="1186" t="s">
        <v>961</v>
      </c>
      <c r="C68" s="1355">
        <f>'[13]1_MFP &amp; Funded Membership'!$U71</f>
        <v>2034</v>
      </c>
      <c r="D68" s="1355">
        <f>'[16]Final 2-1-12 SIS'!$C73</f>
        <v>2028</v>
      </c>
      <c r="E68" s="1352">
        <f t="shared" si="1"/>
        <v>-6</v>
      </c>
      <c r="F68" s="1352">
        <f t="shared" si="2"/>
        <v>0</v>
      </c>
      <c r="G68" s="1352">
        <f t="shared" si="3"/>
        <v>-6</v>
      </c>
      <c r="H68" s="1356">
        <f>'Table 3 Levels 1&amp;2'!AL70</f>
        <v>4246.8337040463766</v>
      </c>
      <c r="I68" s="1356">
        <f>'Table 4 Level 3'!P68</f>
        <v>756.79</v>
      </c>
      <c r="J68" s="1356">
        <f t="shared" si="4"/>
        <v>2501.8118520231883</v>
      </c>
      <c r="K68" s="1354">
        <f t="shared" si="5"/>
        <v>-15010.87111213913</v>
      </c>
      <c r="L68" s="1365">
        <f t="shared" si="6"/>
        <v>0</v>
      </c>
      <c r="M68" s="1365">
        <f t="shared" si="7"/>
        <v>-15010.87111213913</v>
      </c>
    </row>
    <row r="69" spans="1:13" ht="14.25">
      <c r="A69" s="1185">
        <v>64</v>
      </c>
      <c r="B69" s="1186" t="s">
        <v>962</v>
      </c>
      <c r="C69" s="1355">
        <f>'[13]1_MFP &amp; Funded Membership'!$U72</f>
        <v>2423</v>
      </c>
      <c r="D69" s="1355">
        <f>'[16]Final 2-1-12 SIS'!$C74</f>
        <v>2417</v>
      </c>
      <c r="E69" s="1352">
        <f t="shared" si="1"/>
        <v>-6</v>
      </c>
      <c r="F69" s="1352">
        <f t="shared" si="2"/>
        <v>0</v>
      </c>
      <c r="G69" s="1352">
        <f t="shared" si="3"/>
        <v>-6</v>
      </c>
      <c r="H69" s="1356">
        <f>'Table 3 Levels 1&amp;2'!AL71</f>
        <v>5856.9847407739808</v>
      </c>
      <c r="I69" s="1356">
        <f>'Table 4 Level 3'!P69</f>
        <v>592.66</v>
      </c>
      <c r="J69" s="1356">
        <f t="shared" si="4"/>
        <v>3224.8223703869903</v>
      </c>
      <c r="K69" s="1354">
        <f t="shared" si="5"/>
        <v>-19348.934222321943</v>
      </c>
      <c r="L69" s="1365">
        <f t="shared" si="6"/>
        <v>0</v>
      </c>
      <c r="M69" s="1365">
        <f t="shared" si="7"/>
        <v>-19348.934222321943</v>
      </c>
    </row>
    <row r="70" spans="1:13" ht="14.25">
      <c r="A70" s="1191">
        <v>65</v>
      </c>
      <c r="B70" s="1192" t="s">
        <v>963</v>
      </c>
      <c r="C70" s="1358">
        <f>'[13]1_MFP &amp; Funded Membership'!$U73</f>
        <v>8463</v>
      </c>
      <c r="D70" s="1358">
        <f>'[16]Final 2-1-12 SIS'!$C75</f>
        <v>8398</v>
      </c>
      <c r="E70" s="1359">
        <f t="shared" si="1"/>
        <v>-65</v>
      </c>
      <c r="F70" s="1359">
        <f t="shared" si="2"/>
        <v>0</v>
      </c>
      <c r="G70" s="1359">
        <f t="shared" si="3"/>
        <v>-65</v>
      </c>
      <c r="H70" s="1361">
        <f>'Table 3 Levels 1&amp;2'!AL72</f>
        <v>4509.0445072868661</v>
      </c>
      <c r="I70" s="1361">
        <f>'Table 4 Level 3'!P70</f>
        <v>829.12</v>
      </c>
      <c r="J70" s="1361">
        <f t="shared" si="4"/>
        <v>2669.082253643433</v>
      </c>
      <c r="K70" s="1362">
        <f t="shared" si="5"/>
        <v>-173490.34648682314</v>
      </c>
      <c r="L70" s="1366">
        <f t="shared" si="6"/>
        <v>0</v>
      </c>
      <c r="M70" s="1366">
        <f t="shared" si="7"/>
        <v>-173490.34648682314</v>
      </c>
    </row>
    <row r="71" spans="1:13" ht="14.25">
      <c r="A71" s="1196">
        <v>66</v>
      </c>
      <c r="B71" s="1197" t="s">
        <v>964</v>
      </c>
      <c r="C71" s="1355">
        <f>'[13]1_MFP &amp; Funded Membership'!$U74</f>
        <v>2069</v>
      </c>
      <c r="D71" s="1355">
        <f>'[16]Final 2-1-12 SIS'!$C76</f>
        <v>2052</v>
      </c>
      <c r="E71" s="1352">
        <f t="shared" ref="E71:E74" si="8">D71-C71</f>
        <v>-17</v>
      </c>
      <c r="F71" s="1352">
        <f>IF(E71&gt;0,E71,0)</f>
        <v>0</v>
      </c>
      <c r="G71" s="1352">
        <f>IF(E71&lt;0,E71,0)</f>
        <v>-17</v>
      </c>
      <c r="H71" s="1356">
        <f>'Table 3 Levels 1&amp;2'!AL73</f>
        <v>6164.9261107602906</v>
      </c>
      <c r="I71" s="1356">
        <f>'Table 4 Level 3'!P71</f>
        <v>730.06</v>
      </c>
      <c r="J71" s="1356">
        <f t="shared" ref="J71:J74" si="9">(I71+H71)*0.5</f>
        <v>3447.4930553801451</v>
      </c>
      <c r="K71" s="1354">
        <f>E71*J71</f>
        <v>-58607.381941462467</v>
      </c>
      <c r="L71" s="1365">
        <f>IF(K71&gt;0,K71,0)</f>
        <v>0</v>
      </c>
      <c r="M71" s="1365">
        <f>IF(K71&lt;0,K71,0)</f>
        <v>-58607.381941462467</v>
      </c>
    </row>
    <row r="72" spans="1:13" ht="14.25">
      <c r="A72" s="1185">
        <v>67</v>
      </c>
      <c r="B72" s="1186" t="s">
        <v>965</v>
      </c>
      <c r="C72" s="1351">
        <f>'[13]1_MFP &amp; Funded Membership'!$U75</f>
        <v>5066</v>
      </c>
      <c r="D72" s="1351">
        <f>'[16]Final 2-1-12 SIS'!$C77</f>
        <v>5057</v>
      </c>
      <c r="E72" s="1352">
        <f t="shared" si="8"/>
        <v>-9</v>
      </c>
      <c r="F72" s="1352">
        <f>IF(E72&gt;0,E72,0)</f>
        <v>0</v>
      </c>
      <c r="G72" s="1352">
        <f>IF(E72&lt;0,E72,0)</f>
        <v>-9</v>
      </c>
      <c r="H72" s="1353">
        <f>'Table 3 Levels 1&amp;2'!AL74</f>
        <v>4997.7460750973305</v>
      </c>
      <c r="I72" s="1353">
        <f>'Table 4 Level 3'!P72</f>
        <v>715.61</v>
      </c>
      <c r="J72" s="1353">
        <f t="shared" si="9"/>
        <v>2856.6780375486651</v>
      </c>
      <c r="K72" s="1354">
        <f>E72*J72</f>
        <v>-25710.102337937984</v>
      </c>
      <c r="L72" s="1365">
        <f>IF(K72&gt;0,K72,0)</f>
        <v>0</v>
      </c>
      <c r="M72" s="1365">
        <f>IF(K72&lt;0,K72,0)</f>
        <v>-25710.102337937984</v>
      </c>
    </row>
    <row r="73" spans="1:13" ht="14.25">
      <c r="A73" s="1185">
        <v>68</v>
      </c>
      <c r="B73" s="1186" t="s">
        <v>966</v>
      </c>
      <c r="C73" s="1351">
        <f>'[13]1_MFP &amp; Funded Membership'!$U76</f>
        <v>1734</v>
      </c>
      <c r="D73" s="1351">
        <f>'[16]Final 2-1-12 SIS'!$C78</f>
        <v>1758</v>
      </c>
      <c r="E73" s="1352">
        <f t="shared" si="8"/>
        <v>24</v>
      </c>
      <c r="F73" s="1352">
        <f>IF(E73&gt;0,E73,0)</f>
        <v>24</v>
      </c>
      <c r="G73" s="1352">
        <f>IF(E73&lt;0,E73,0)</f>
        <v>0</v>
      </c>
      <c r="H73" s="1353">
        <f>'Table 3 Levels 1&amp;2'!AL75</f>
        <v>5856.8933841064891</v>
      </c>
      <c r="I73" s="1353">
        <f>'Table 4 Level 3'!P73</f>
        <v>798.7</v>
      </c>
      <c r="J73" s="1353">
        <f t="shared" si="9"/>
        <v>3327.7966920532444</v>
      </c>
      <c r="K73" s="1354">
        <f>E73*J73</f>
        <v>79867.120609277859</v>
      </c>
      <c r="L73" s="1365">
        <f>IF(K73&gt;0,K73,0)</f>
        <v>79867.120609277859</v>
      </c>
      <c r="M73" s="1365">
        <f>IF(K73&lt;0,K73,0)</f>
        <v>0</v>
      </c>
    </row>
    <row r="74" spans="1:13" ht="14.25">
      <c r="A74" s="1198">
        <v>69</v>
      </c>
      <c r="B74" s="1199" t="s">
        <v>967</v>
      </c>
      <c r="C74" s="1351">
        <f>'[13]1_MFP &amp; Funded Membership'!$U77</f>
        <v>3954</v>
      </c>
      <c r="D74" s="1351">
        <f>'[16]Final 2-1-12 SIS'!$C79</f>
        <v>3927</v>
      </c>
      <c r="E74" s="1352">
        <f t="shared" si="8"/>
        <v>-27</v>
      </c>
      <c r="F74" s="1352">
        <f>IF(E74&gt;0,E74,0)</f>
        <v>0</v>
      </c>
      <c r="G74" s="1352">
        <f>IF(E74&lt;0,E74,0)</f>
        <v>-27</v>
      </c>
      <c r="H74" s="1353">
        <f>'Table 3 Levels 1&amp;2'!AL76</f>
        <v>5493.3241993293232</v>
      </c>
      <c r="I74" s="1353">
        <f>'Table 4 Level 3'!P74</f>
        <v>705.67</v>
      </c>
      <c r="J74" s="1353">
        <f t="shared" si="9"/>
        <v>3099.4970996646616</v>
      </c>
      <c r="K74" s="1354">
        <f>E74*J74</f>
        <v>-83686.421690945863</v>
      </c>
      <c r="L74" s="1365">
        <f>IF(K74&gt;0,K74,0)</f>
        <v>0</v>
      </c>
      <c r="M74" s="1365">
        <f>IF(K74&lt;0,K74,0)</f>
        <v>-83686.421690945863</v>
      </c>
    </row>
    <row r="75" spans="1:13" s="1204" customFormat="1" ht="15.75" thickBot="1">
      <c r="A75" s="1200"/>
      <c r="B75" s="1201" t="s">
        <v>968</v>
      </c>
      <c r="C75" s="1370">
        <f t="shared" ref="C75:M75" si="10">SUM(C6:C74)</f>
        <v>637161</v>
      </c>
      <c r="D75" s="1370">
        <f>SUM(D6:D74)</f>
        <v>634484</v>
      </c>
      <c r="E75" s="1370">
        <f t="shared" si="10"/>
        <v>-2677</v>
      </c>
      <c r="F75" s="1370">
        <f t="shared" si="10"/>
        <v>326</v>
      </c>
      <c r="G75" s="1370">
        <f t="shared" si="10"/>
        <v>-3003</v>
      </c>
      <c r="H75" s="1371"/>
      <c r="I75" s="1371"/>
      <c r="J75" s="1371"/>
      <c r="K75" s="1371">
        <f t="shared" si="10"/>
        <v>-6534738.7677073088</v>
      </c>
      <c r="L75" s="1371">
        <f t="shared" si="10"/>
        <v>924930.59342792456</v>
      </c>
      <c r="M75" s="1371">
        <f t="shared" si="10"/>
        <v>-7459669.3611352341</v>
      </c>
    </row>
    <row r="76" spans="1:13" ht="6.75" customHeight="1" thickTop="1">
      <c r="A76" s="1205"/>
      <c r="B76" s="1206"/>
      <c r="C76" s="1372"/>
      <c r="D76" s="1372"/>
      <c r="E76" s="1372"/>
      <c r="F76" s="1372"/>
      <c r="G76" s="1372"/>
      <c r="H76" s="1373"/>
      <c r="I76" s="1373"/>
      <c r="J76" s="1373"/>
      <c r="K76" s="1373"/>
      <c r="L76" s="1373"/>
      <c r="M76" s="1373"/>
    </row>
    <row r="77" spans="1:13" ht="12.75" customHeight="1">
      <c r="A77" s="1209"/>
      <c r="B77" s="1209" t="s">
        <v>969</v>
      </c>
      <c r="C77" s="1374">
        <f>'[13]1_MFP &amp; Funded Membership'!$U$90</f>
        <v>1359</v>
      </c>
      <c r="D77" s="1374">
        <f>'[17]Selected Sites'!$G$12</f>
        <v>1359</v>
      </c>
      <c r="E77" s="1375">
        <f t="shared" ref="E77:E78" si="11">D77-C77</f>
        <v>0</v>
      </c>
      <c r="F77" s="1375">
        <f>IF(E77&gt;0,E77,0)</f>
        <v>0</v>
      </c>
      <c r="G77" s="1375">
        <f>IF(E77&lt;0,E77,0)</f>
        <v>0</v>
      </c>
      <c r="H77" s="1376">
        <f>'Table 5A1 Labs NOCCA LSMSA'!C8</f>
        <v>4330.434514547147</v>
      </c>
      <c r="I77" s="1376">
        <f>'Table 5A1 Labs NOCCA LSMSA'!E8</f>
        <v>605.97185873605952</v>
      </c>
      <c r="J77" s="1376">
        <f t="shared" ref="J77:J78" si="12">(I77+H77)*0.5</f>
        <v>2468.2031866416032</v>
      </c>
      <c r="K77" s="1377">
        <f>E77*J77</f>
        <v>0</v>
      </c>
      <c r="L77" s="1376">
        <f>IF(K77&gt;0,K77,0)</f>
        <v>0</v>
      </c>
      <c r="M77" s="1376">
        <f>IF(K77&lt;0,K77,0)</f>
        <v>0</v>
      </c>
    </row>
    <row r="78" spans="1:13" ht="14.25">
      <c r="A78" s="1198"/>
      <c r="B78" s="1213" t="s">
        <v>970</v>
      </c>
      <c r="C78" s="1357">
        <f>'[13]1_MFP &amp; Funded Membership'!$U$91</f>
        <v>289</v>
      </c>
      <c r="D78" s="1357">
        <f>'[17]Selected Sites'!$G$13</f>
        <v>266</v>
      </c>
      <c r="E78" s="1359">
        <f t="shared" si="11"/>
        <v>-23</v>
      </c>
      <c r="F78" s="1359">
        <f>IF(E78&gt;0,E78,0)</f>
        <v>0</v>
      </c>
      <c r="G78" s="1359">
        <f>IF(E78&lt;0,E78,0)</f>
        <v>-23</v>
      </c>
      <c r="H78" s="1360">
        <f>'Table 5A1 Labs NOCCA LSMSA'!C9</f>
        <v>4330.434514547147</v>
      </c>
      <c r="I78" s="1353">
        <f>'Table 5A1 Labs NOCCA LSMSA'!E9</f>
        <v>699.89832861189802</v>
      </c>
      <c r="J78" s="1360">
        <f t="shared" si="12"/>
        <v>2515.1664215795226</v>
      </c>
      <c r="K78" s="1362">
        <f>E78*J78</f>
        <v>-57848.827696329019</v>
      </c>
      <c r="L78" s="1360">
        <f>IF(K78&gt;0,K78,0)</f>
        <v>0</v>
      </c>
      <c r="M78" s="1360">
        <f>IF(K78&lt;0,K78,0)</f>
        <v>-57848.827696329019</v>
      </c>
    </row>
    <row r="79" spans="1:13" s="1204" customFormat="1" ht="15.75" thickBot="1">
      <c r="A79" s="1217"/>
      <c r="B79" s="1201" t="s">
        <v>971</v>
      </c>
      <c r="C79" s="1370">
        <f t="shared" ref="C79:M79" si="13">SUM(C77:C78)</f>
        <v>1648</v>
      </c>
      <c r="D79" s="1370">
        <f>SUM(D77:D78)</f>
        <v>1625</v>
      </c>
      <c r="E79" s="1370">
        <f t="shared" si="13"/>
        <v>-23</v>
      </c>
      <c r="F79" s="1370">
        <f t="shared" si="13"/>
        <v>0</v>
      </c>
      <c r="G79" s="1370">
        <f t="shared" si="13"/>
        <v>-23</v>
      </c>
      <c r="H79" s="1371"/>
      <c r="I79" s="1371"/>
      <c r="J79" s="1371"/>
      <c r="K79" s="1371">
        <f t="shared" si="13"/>
        <v>-57848.827696329019</v>
      </c>
      <c r="L79" s="1371">
        <f t="shared" si="13"/>
        <v>0</v>
      </c>
      <c r="M79" s="1371">
        <f t="shared" si="13"/>
        <v>-57848.827696329019</v>
      </c>
    </row>
    <row r="80" spans="1:13" s="1227" customFormat="1" ht="6.75" customHeight="1" thickTop="1">
      <c r="A80" s="1221"/>
      <c r="B80" s="1222"/>
      <c r="C80" s="1379"/>
      <c r="D80" s="1379"/>
      <c r="E80" s="1379"/>
      <c r="F80" s="1379"/>
      <c r="G80" s="1379"/>
      <c r="H80" s="1380"/>
      <c r="I80" s="1380"/>
      <c r="J80" s="1380"/>
      <c r="K80" s="1380"/>
      <c r="L80" s="1380"/>
      <c r="M80" s="1380"/>
    </row>
    <row r="81" spans="1:13" s="1227" customFormat="1" ht="14.25" customHeight="1">
      <c r="A81" s="1224"/>
      <c r="B81" s="1225" t="s">
        <v>972</v>
      </c>
      <c r="C81" s="1382">
        <f>'[13]1_MFP &amp; Funded Membership'!$U$179</f>
        <v>314</v>
      </c>
      <c r="D81" s="1382">
        <f>'[17]Selected Sites'!$G$56</f>
        <v>295</v>
      </c>
      <c r="E81" s="1383">
        <f>D81-C81</f>
        <v>-19</v>
      </c>
      <c r="F81" s="1382">
        <f>IF(E81&gt;0,E81,0)</f>
        <v>0</v>
      </c>
      <c r="G81" s="1383">
        <f>IF(E81&lt;0,E81,0)</f>
        <v>-19</v>
      </c>
      <c r="H81" s="1384">
        <f>'Table 5A1 Labs NOCCA LSMSA'!C19</f>
        <v>4330.434514547147</v>
      </c>
      <c r="I81" s="1384">
        <f>'Table 5A1 Labs NOCCA LSMSA'!E19</f>
        <v>704.98328052506076</v>
      </c>
      <c r="J81" s="1384">
        <f>(I81+H81)*0.5</f>
        <v>2517.7088975361039</v>
      </c>
      <c r="K81" s="1384">
        <f>E81*J81</f>
        <v>-47836.469053185974</v>
      </c>
      <c r="L81" s="1384">
        <f>IF(K81&gt;0,K81,0)</f>
        <v>0</v>
      </c>
      <c r="M81" s="1384">
        <f>IF(K81&lt;0,K81,0)</f>
        <v>-47836.469053185974</v>
      </c>
    </row>
    <row r="82" spans="1:13" s="1227" customFormat="1" ht="18.75" customHeight="1" thickBot="1">
      <c r="A82" s="1228"/>
      <c r="B82" s="1229" t="s">
        <v>973</v>
      </c>
      <c r="C82" s="1386">
        <f>SUM(C81)</f>
        <v>314</v>
      </c>
      <c r="D82" s="1386">
        <f>SUM(D81)</f>
        <v>295</v>
      </c>
      <c r="E82" s="1387">
        <f>SUM(E81)</f>
        <v>-19</v>
      </c>
      <c r="F82" s="1386">
        <f>SUM(F81)</f>
        <v>0</v>
      </c>
      <c r="G82" s="1387">
        <f>SUM(G81)</f>
        <v>-19</v>
      </c>
      <c r="H82" s="1388"/>
      <c r="I82" s="1388"/>
      <c r="J82" s="1388"/>
      <c r="K82" s="1388">
        <f>SUM(K81)</f>
        <v>-47836.469053185974</v>
      </c>
      <c r="L82" s="1388">
        <f>SUM(L81)</f>
        <v>0</v>
      </c>
      <c r="M82" s="1388">
        <f>SUM(M81)</f>
        <v>-47836.469053185974</v>
      </c>
    </row>
    <row r="83" spans="1:13" s="1227" customFormat="1" ht="6.75" customHeight="1" thickTop="1">
      <c r="A83" s="1232"/>
      <c r="B83" s="1233"/>
      <c r="C83" s="1390"/>
      <c r="D83" s="1390"/>
      <c r="E83" s="1390"/>
      <c r="F83" s="1390"/>
      <c r="G83" s="1390"/>
      <c r="H83" s="1391"/>
      <c r="I83" s="1391"/>
      <c r="J83" s="1391"/>
      <c r="K83" s="1391"/>
      <c r="L83" s="1391"/>
      <c r="M83" s="1391"/>
    </row>
    <row r="84" spans="1:13" s="1227" customFormat="1" ht="14.25" customHeight="1">
      <c r="A84" s="1224"/>
      <c r="B84" s="1225" t="s">
        <v>974</v>
      </c>
      <c r="C84" s="1382">
        <f>'[13]1_MFP &amp; Funded Membership'!$U$182</f>
        <v>56</v>
      </c>
      <c r="D84" s="1382">
        <f>'[17]Selected Sites'!$G$60</f>
        <v>51</v>
      </c>
      <c r="E84" s="1383">
        <f>D84-C84</f>
        <v>-5</v>
      </c>
      <c r="F84" s="1382">
        <f>IF(E84&gt;0,E84,0)</f>
        <v>0</v>
      </c>
      <c r="G84" s="1383">
        <f>IF(E84&lt;0,E84,0)</f>
        <v>-5</v>
      </c>
      <c r="H84" s="1384">
        <f>'Table 5A1 Labs NOCCA LSMSA'!C20</f>
        <v>4330.434514547147</v>
      </c>
      <c r="I84" s="1384">
        <f>'Table 5A1 Labs NOCCA LSMSA'!E20</f>
        <v>704.98328052506076</v>
      </c>
      <c r="J84" s="1384">
        <f>(I84+H84)*0.5</f>
        <v>2517.7088975361039</v>
      </c>
      <c r="K84" s="1384">
        <f>E84*J84</f>
        <v>-12588.54448768052</v>
      </c>
      <c r="L84" s="1384">
        <f>IF(K84&gt;0,K84,0)</f>
        <v>0</v>
      </c>
      <c r="M84" s="1384">
        <f>IF(K84&lt;0,K84,0)</f>
        <v>-12588.54448768052</v>
      </c>
    </row>
    <row r="85" spans="1:13" s="1227" customFormat="1" ht="18.75" customHeight="1" thickBot="1">
      <c r="A85" s="1228"/>
      <c r="B85" s="1229" t="s">
        <v>975</v>
      </c>
      <c r="C85" s="1386">
        <f>SUM(C84)</f>
        <v>56</v>
      </c>
      <c r="D85" s="1386">
        <f>SUM(D84)</f>
        <v>51</v>
      </c>
      <c r="E85" s="1387">
        <f>SUM(E84)</f>
        <v>-5</v>
      </c>
      <c r="F85" s="1386">
        <f>SUM(F84)</f>
        <v>0</v>
      </c>
      <c r="G85" s="1387">
        <f>SUM(G84)</f>
        <v>-5</v>
      </c>
      <c r="H85" s="1388"/>
      <c r="I85" s="1388"/>
      <c r="J85" s="1388"/>
      <c r="K85" s="1388">
        <f>SUM(K84)</f>
        <v>-12588.54448768052</v>
      </c>
      <c r="L85" s="1388">
        <f>SUM(L84)</f>
        <v>0</v>
      </c>
      <c r="M85" s="1388">
        <f>SUM(M84)</f>
        <v>-12588.54448768052</v>
      </c>
    </row>
    <row r="86" spans="1:13" s="1227" customFormat="1" ht="6.75" customHeight="1" thickTop="1">
      <c r="A86" s="1232"/>
      <c r="B86" s="1233"/>
      <c r="C86" s="1390"/>
      <c r="D86" s="1390"/>
      <c r="E86" s="1390"/>
      <c r="F86" s="1390"/>
      <c r="G86" s="1390"/>
      <c r="H86" s="1391"/>
      <c r="I86" s="1391"/>
      <c r="J86" s="1391"/>
      <c r="K86" s="1391"/>
      <c r="L86" s="1391"/>
      <c r="M86" s="1391"/>
    </row>
    <row r="87" spans="1:13" s="1227" customFormat="1" ht="14.25" customHeight="1">
      <c r="A87" s="1234" t="s">
        <v>728</v>
      </c>
      <c r="B87" s="1235" t="s">
        <v>976</v>
      </c>
      <c r="C87" s="1393">
        <f>'[13]1_MFP &amp; Funded Membership'!$U104</f>
        <v>341</v>
      </c>
      <c r="D87" s="1393">
        <f>'[17]Selected Sites'!$G15</f>
        <v>332</v>
      </c>
      <c r="E87" s="1394">
        <f t="shared" ref="E87:E94" si="14">D87-C87</f>
        <v>-9</v>
      </c>
      <c r="F87" s="1393">
        <f t="shared" ref="F87:F94" si="15">IF(E87&gt;0,E87,0)</f>
        <v>0</v>
      </c>
      <c r="G87" s="1394">
        <f t="shared" ref="G87:G94" si="16">IF(E87&lt;0,E87,0)</f>
        <v>-9</v>
      </c>
      <c r="H87" s="1395">
        <f>'Table 5D - Legacy Type 2'!D10</f>
        <v>9184.0445072868661</v>
      </c>
      <c r="I87" s="1395">
        <f>'Table 5D - Legacy Type 2'!F10</f>
        <v>716.29552188552179</v>
      </c>
      <c r="J87" s="1395">
        <f t="shared" ref="J87:J94" si="17">(I87+H87)*0.5</f>
        <v>4950.1700145861942</v>
      </c>
      <c r="K87" s="1395">
        <f t="shared" ref="K87:K94" si="18">E87*J87</f>
        <v>-44551.530131275751</v>
      </c>
      <c r="L87" s="1395">
        <f t="shared" ref="L87:L98" si="19">IF(K87&gt;0,K87,0)</f>
        <v>0</v>
      </c>
      <c r="M87" s="1395">
        <f t="shared" ref="M87:M98" si="20">IF(K87&lt;0,K87,0)</f>
        <v>-44551.530131275751</v>
      </c>
    </row>
    <row r="88" spans="1:13" s="1227" customFormat="1" ht="14.25" customHeight="1">
      <c r="A88" s="1238" t="s">
        <v>730</v>
      </c>
      <c r="B88" s="1239" t="s">
        <v>977</v>
      </c>
      <c r="C88" s="1398">
        <f>'[13]1_MFP &amp; Funded Membership'!$U105</f>
        <v>367</v>
      </c>
      <c r="D88" s="1397">
        <f>'[17]Selected Sites'!$G16</f>
        <v>368</v>
      </c>
      <c r="E88" s="1399">
        <f t="shared" si="14"/>
        <v>1</v>
      </c>
      <c r="F88" s="1397">
        <f t="shared" si="15"/>
        <v>1</v>
      </c>
      <c r="G88" s="1399">
        <f t="shared" si="16"/>
        <v>0</v>
      </c>
      <c r="H88" s="1400">
        <f>'Table 5D - Legacy Type 2'!D11</f>
        <v>8580.5765423983976</v>
      </c>
      <c r="I88" s="1400">
        <f>'Table 5D - Legacy Type 2'!F11</f>
        <v>598.40363440561384</v>
      </c>
      <c r="J88" s="1400">
        <f t="shared" si="17"/>
        <v>4589.4900884020053</v>
      </c>
      <c r="K88" s="1400">
        <f t="shared" si="18"/>
        <v>4589.4900884020053</v>
      </c>
      <c r="L88" s="1400">
        <f t="shared" si="19"/>
        <v>4589.4900884020053</v>
      </c>
      <c r="M88" s="1400">
        <f t="shared" si="20"/>
        <v>0</v>
      </c>
    </row>
    <row r="89" spans="1:13" s="1227" customFormat="1" ht="14.25" customHeight="1">
      <c r="A89" s="1238" t="s">
        <v>732</v>
      </c>
      <c r="B89" s="1240" t="s">
        <v>978</v>
      </c>
      <c r="C89" s="1398">
        <f>'[13]1_MFP &amp; Funded Membership'!$U106</f>
        <v>627</v>
      </c>
      <c r="D89" s="1397">
        <f>'[17]Selected Sites'!$G17</f>
        <v>624</v>
      </c>
      <c r="E89" s="1399">
        <f t="shared" si="14"/>
        <v>-3</v>
      </c>
      <c r="F89" s="1397">
        <f t="shared" si="15"/>
        <v>0</v>
      </c>
      <c r="G89" s="1399">
        <f t="shared" si="16"/>
        <v>-3</v>
      </c>
      <c r="H89" s="1400">
        <f>'Table 5D - Legacy Type 2'!D12</f>
        <v>7459.0270959716217</v>
      </c>
      <c r="I89" s="1400">
        <f>'Table 5D - Legacy Type 2'!F12</f>
        <v>714.81015756302509</v>
      </c>
      <c r="J89" s="1400">
        <f t="shared" si="17"/>
        <v>4086.9186267673235</v>
      </c>
      <c r="K89" s="1400">
        <f t="shared" si="18"/>
        <v>-12260.755880301971</v>
      </c>
      <c r="L89" s="1400">
        <f t="shared" si="19"/>
        <v>0</v>
      </c>
      <c r="M89" s="1400">
        <f t="shared" si="20"/>
        <v>-12260.755880301971</v>
      </c>
    </row>
    <row r="90" spans="1:13" s="1227" customFormat="1" ht="14.25" customHeight="1">
      <c r="A90" s="1238" t="s">
        <v>734</v>
      </c>
      <c r="B90" s="1239" t="s">
        <v>979</v>
      </c>
      <c r="C90" s="1398">
        <f>'[13]1_MFP &amp; Funded Membership'!$U107</f>
        <v>697</v>
      </c>
      <c r="D90" s="1397">
        <f>'[17]Selected Sites'!$G18</f>
        <v>681</v>
      </c>
      <c r="E90" s="1399">
        <f t="shared" si="14"/>
        <v>-16</v>
      </c>
      <c r="F90" s="1397">
        <f t="shared" si="15"/>
        <v>0</v>
      </c>
      <c r="G90" s="1399">
        <f t="shared" si="16"/>
        <v>-16</v>
      </c>
      <c r="H90" s="1400">
        <f>'Table 5D - Legacy Type 2'!D13</f>
        <v>6169.7330578848678</v>
      </c>
      <c r="I90" s="1400">
        <f>'Table 5D - Legacy Type 2'!F13</f>
        <v>536.12413544332276</v>
      </c>
      <c r="J90" s="1400">
        <f t="shared" si="17"/>
        <v>3352.9285966640955</v>
      </c>
      <c r="K90" s="1400">
        <f t="shared" si="18"/>
        <v>-53646.857546625528</v>
      </c>
      <c r="L90" s="1400">
        <f t="shared" si="19"/>
        <v>0</v>
      </c>
      <c r="M90" s="1400">
        <f t="shared" si="20"/>
        <v>-53646.857546625528</v>
      </c>
    </row>
    <row r="91" spans="1:13" s="1227" customFormat="1" ht="14.25" customHeight="1">
      <c r="A91" s="1238" t="s">
        <v>736</v>
      </c>
      <c r="B91" s="1239" t="s">
        <v>980</v>
      </c>
      <c r="C91" s="1398">
        <f>'[13]1_MFP &amp; Funded Membership'!$U108</f>
        <v>653</v>
      </c>
      <c r="D91" s="1397">
        <f>'[17]Selected Sites'!$G19</f>
        <v>652</v>
      </c>
      <c r="E91" s="1399">
        <f t="shared" si="14"/>
        <v>-1</v>
      </c>
      <c r="F91" s="1397">
        <f t="shared" si="15"/>
        <v>0</v>
      </c>
      <c r="G91" s="1399">
        <f t="shared" si="16"/>
        <v>-1</v>
      </c>
      <c r="H91" s="1400">
        <f>'Table 5D - Legacy Type 2'!D14</f>
        <v>8489.0856550306853</v>
      </c>
      <c r="I91" s="1400">
        <f>'Table 5D - Legacy Type 2'!F14</f>
        <v>527.02354414153262</v>
      </c>
      <c r="J91" s="1400">
        <f t="shared" si="17"/>
        <v>4508.0545995861094</v>
      </c>
      <c r="K91" s="1400">
        <f t="shared" si="18"/>
        <v>-4508.0545995861094</v>
      </c>
      <c r="L91" s="1400">
        <f t="shared" si="19"/>
        <v>0</v>
      </c>
      <c r="M91" s="1400">
        <f t="shared" si="20"/>
        <v>-4508.0545995861094</v>
      </c>
    </row>
    <row r="92" spans="1:13" s="1227" customFormat="1" ht="14.25" customHeight="1">
      <c r="A92" s="1238" t="s">
        <v>738</v>
      </c>
      <c r="B92" s="1239" t="s">
        <v>981</v>
      </c>
      <c r="C92" s="1398">
        <f>'[13]1_MFP &amp; Funded Membership'!$U109</f>
        <v>942</v>
      </c>
      <c r="D92" s="1397">
        <f>'[17]Selected Sites'!$G20</f>
        <v>915</v>
      </c>
      <c r="E92" s="1399">
        <f t="shared" si="14"/>
        <v>-27</v>
      </c>
      <c r="F92" s="1397">
        <f t="shared" si="15"/>
        <v>0</v>
      </c>
      <c r="G92" s="1399">
        <f t="shared" si="16"/>
        <v>-27</v>
      </c>
      <c r="H92" s="1400">
        <f>'Table 5D - Legacy Type 2'!D15</f>
        <v>13820.558275214593</v>
      </c>
      <c r="I92" s="1400">
        <f>'Table 5D - Legacy Type 2'!F15</f>
        <v>788.90242015830813</v>
      </c>
      <c r="J92" s="1400">
        <f t="shared" si="17"/>
        <v>7304.7303476864508</v>
      </c>
      <c r="K92" s="1400">
        <f t="shared" si="18"/>
        <v>-197227.71938753416</v>
      </c>
      <c r="L92" s="1400">
        <f t="shared" si="19"/>
        <v>0</v>
      </c>
      <c r="M92" s="1400">
        <f t="shared" si="20"/>
        <v>-197227.71938753416</v>
      </c>
    </row>
    <row r="93" spans="1:13" s="1227" customFormat="1" ht="14.25" customHeight="1">
      <c r="A93" s="1238" t="s">
        <v>740</v>
      </c>
      <c r="B93" s="1239" t="s">
        <v>982</v>
      </c>
      <c r="C93" s="1398">
        <f>'[13]1_MFP &amp; Funded Membership'!$U110</f>
        <v>395</v>
      </c>
      <c r="D93" s="1397">
        <f>'[17]Selected Sites'!$G21</f>
        <v>399</v>
      </c>
      <c r="E93" s="1399">
        <f t="shared" si="14"/>
        <v>4</v>
      </c>
      <c r="F93" s="1397">
        <f t="shared" si="15"/>
        <v>4</v>
      </c>
      <c r="G93" s="1399">
        <f t="shared" si="16"/>
        <v>0</v>
      </c>
      <c r="H93" s="1400">
        <f>'Table 5D - Legacy Type 2'!D16</f>
        <v>8103.0270959716217</v>
      </c>
      <c r="I93" s="1400">
        <f>'Table 5D - Legacy Type 2'!F16</f>
        <v>705.7643831168831</v>
      </c>
      <c r="J93" s="1400">
        <f t="shared" si="17"/>
        <v>4404.3957395442521</v>
      </c>
      <c r="K93" s="1400">
        <f t="shared" si="18"/>
        <v>17617.582958177009</v>
      </c>
      <c r="L93" s="1400">
        <f t="shared" si="19"/>
        <v>17617.582958177009</v>
      </c>
      <c r="M93" s="1400">
        <f t="shared" si="20"/>
        <v>0</v>
      </c>
    </row>
    <row r="94" spans="1:13" s="1227" customFormat="1" ht="14.25" customHeight="1">
      <c r="A94" s="1246" t="s">
        <v>742</v>
      </c>
      <c r="B94" s="1247" t="s">
        <v>983</v>
      </c>
      <c r="C94" s="1403">
        <f>'[13]1_MFP &amp; Funded Membership'!$U111</f>
        <v>103</v>
      </c>
      <c r="D94" s="1402">
        <f>'[17]Selected Sites'!$G22</f>
        <v>102</v>
      </c>
      <c r="E94" s="1404">
        <f t="shared" si="14"/>
        <v>-1</v>
      </c>
      <c r="F94" s="1402">
        <f t="shared" si="15"/>
        <v>0</v>
      </c>
      <c r="G94" s="1404">
        <f t="shared" si="16"/>
        <v>-1</v>
      </c>
      <c r="H94" s="1405">
        <f>'Table 5D - Legacy Type 2'!D17</f>
        <v>8609.8161124471389</v>
      </c>
      <c r="I94" s="1405">
        <f>'Table 5D - Legacy Type 2'!F17</f>
        <v>659.21180998497243</v>
      </c>
      <c r="J94" s="1405">
        <f t="shared" si="17"/>
        <v>4634.5139612160556</v>
      </c>
      <c r="K94" s="1405">
        <f t="shared" si="18"/>
        <v>-4634.5139612160556</v>
      </c>
      <c r="L94" s="1405">
        <f t="shared" si="19"/>
        <v>0</v>
      </c>
      <c r="M94" s="1405">
        <f t="shared" si="20"/>
        <v>-4634.5139612160556</v>
      </c>
    </row>
    <row r="95" spans="1:13" s="1227" customFormat="1" ht="18.75" customHeight="1" thickBot="1">
      <c r="A95" s="1238"/>
      <c r="B95" s="1248" t="s">
        <v>984</v>
      </c>
      <c r="C95" s="1406">
        <f>SUM(C87:C94)</f>
        <v>4125</v>
      </c>
      <c r="D95" s="1406">
        <f>SUM(D87:D94)</f>
        <v>4073</v>
      </c>
      <c r="E95" s="1407">
        <f>SUM(E87:E94)</f>
        <v>-52</v>
      </c>
      <c r="F95" s="1406">
        <f>SUM(F87:F94)</f>
        <v>5</v>
      </c>
      <c r="G95" s="1407">
        <f>SUM(G87:G94)</f>
        <v>-57</v>
      </c>
      <c r="H95" s="1408"/>
      <c r="I95" s="1408"/>
      <c r="J95" s="1408"/>
      <c r="K95" s="1408">
        <f>SUM(K87:K94)</f>
        <v>-294622.35845996049</v>
      </c>
      <c r="L95" s="1408">
        <f>SUM(L87:L94)</f>
        <v>22207.073046579015</v>
      </c>
      <c r="M95" s="1408">
        <f>SUM(M87:M94)</f>
        <v>-316829.43150653952</v>
      </c>
    </row>
    <row r="96" spans="1:13" s="1227" customFormat="1" ht="7.5" customHeight="1" thickTop="1">
      <c r="A96" s="1250"/>
      <c r="B96" s="1251"/>
      <c r="C96" s="1410"/>
      <c r="D96" s="1410"/>
      <c r="E96" s="1411"/>
      <c r="F96" s="1410"/>
      <c r="G96" s="1411"/>
      <c r="H96" s="1412"/>
      <c r="I96" s="1412"/>
      <c r="J96" s="1412"/>
      <c r="K96" s="1412"/>
      <c r="L96" s="1412"/>
      <c r="M96" s="1411"/>
    </row>
    <row r="97" spans="1:13" s="1227" customFormat="1" ht="18.75" customHeight="1">
      <c r="A97" s="1234"/>
      <c r="B97" s="1252" t="s">
        <v>985</v>
      </c>
      <c r="C97" s="1393">
        <f>'Oct midyear adj_LA virtual'!D75</f>
        <v>1246</v>
      </c>
      <c r="D97" s="1393">
        <f>'Feb midyear adj_LA virtual '!D75</f>
        <v>1242</v>
      </c>
      <c r="E97" s="1394">
        <f t="shared" ref="E97:E98" si="21">D97-C97</f>
        <v>-4</v>
      </c>
      <c r="F97" s="1393">
        <f t="shared" ref="F97:F98" si="22">IF(E97&gt;0,E97,0)</f>
        <v>0</v>
      </c>
      <c r="G97" s="1394">
        <f t="shared" ref="G97:G98" si="23">IF(E97&lt;0,E97,0)</f>
        <v>-4</v>
      </c>
      <c r="H97" s="1395"/>
      <c r="I97" s="1395"/>
      <c r="J97" s="1395"/>
      <c r="K97" s="1413">
        <f>'Feb midyear adj_LA virtual '!K75</f>
        <v>11891.766400164843</v>
      </c>
      <c r="L97" s="1395">
        <f t="shared" si="19"/>
        <v>11891.766400164843</v>
      </c>
      <c r="M97" s="1395">
        <f t="shared" si="20"/>
        <v>0</v>
      </c>
    </row>
    <row r="98" spans="1:13" s="1227" customFormat="1" ht="18.75" customHeight="1">
      <c r="A98" s="1246">
        <v>345</v>
      </c>
      <c r="B98" s="1253" t="s">
        <v>986</v>
      </c>
      <c r="C98" s="1402">
        <f>'Oct midyear adj_Connections'!D75</f>
        <v>597</v>
      </c>
      <c r="D98" s="1402">
        <f>'Feb midyear adj_Connections'!D75</f>
        <v>594</v>
      </c>
      <c r="E98" s="1404">
        <f t="shared" si="21"/>
        <v>-3</v>
      </c>
      <c r="F98" s="1402">
        <f t="shared" si="22"/>
        <v>0</v>
      </c>
      <c r="G98" s="1404">
        <f t="shared" si="23"/>
        <v>-3</v>
      </c>
      <c r="H98" s="1405"/>
      <c r="I98" s="1405"/>
      <c r="J98" s="1405"/>
      <c r="K98" s="1405">
        <f>'Feb midyear adj_Connections'!K75</f>
        <v>-4090.3737340866901</v>
      </c>
      <c r="L98" s="1405">
        <f t="shared" si="19"/>
        <v>0</v>
      </c>
      <c r="M98" s="1405">
        <f t="shared" si="20"/>
        <v>-4090.3737340866901</v>
      </c>
    </row>
    <row r="99" spans="1:13" s="1227" customFormat="1" ht="18.75" customHeight="1" thickBot="1">
      <c r="A99" s="1254"/>
      <c r="B99" s="1229" t="s">
        <v>987</v>
      </c>
      <c r="C99" s="1386">
        <f>SUM(C97:C98)</f>
        <v>1843</v>
      </c>
      <c r="D99" s="1386">
        <f>SUM(D97:D98)</f>
        <v>1836</v>
      </c>
      <c r="E99" s="1387">
        <f>SUM(E97:E98)</f>
        <v>-7</v>
      </c>
      <c r="F99" s="1386">
        <f>SUM(F97:F98)</f>
        <v>0</v>
      </c>
      <c r="G99" s="1387">
        <f>SUM(G97:G98)</f>
        <v>-7</v>
      </c>
      <c r="H99" s="1388"/>
      <c r="I99" s="1388"/>
      <c r="J99" s="1388"/>
      <c r="K99" s="1388">
        <f>SUM(K97:K98)</f>
        <v>7801.3926660781526</v>
      </c>
      <c r="L99" s="1388">
        <f>SUM(L97:L98)</f>
        <v>11891.766400164843</v>
      </c>
      <c r="M99" s="1388">
        <f>SUM(M97:M98)</f>
        <v>-4090.3737340866901</v>
      </c>
    </row>
    <row r="100" spans="1:13" ht="6.75" customHeight="1" thickTop="1">
      <c r="A100" s="1255"/>
      <c r="B100" s="1256"/>
      <c r="C100" s="1416"/>
      <c r="D100" s="1416"/>
      <c r="E100" s="1416"/>
      <c r="F100" s="1416"/>
      <c r="G100" s="1416"/>
      <c r="H100" s="1417"/>
      <c r="I100" s="1417"/>
      <c r="J100" s="1417"/>
      <c r="K100" s="1417"/>
      <c r="L100" s="1417"/>
      <c r="M100" s="1417"/>
    </row>
    <row r="101" spans="1:13" s="1227" customFormat="1" ht="14.25" customHeight="1">
      <c r="A101" s="1257"/>
      <c r="B101" s="1258" t="s">
        <v>639</v>
      </c>
      <c r="C101" s="1419">
        <f>[14]Sheet1!$H$21</f>
        <v>204</v>
      </c>
      <c r="D101" s="1419">
        <f>'[16]Final 2-1-12 SIS'!$P$27</f>
        <v>190</v>
      </c>
      <c r="E101" s="1420">
        <f t="shared" ref="E101:E105" si="24">D101-C101</f>
        <v>-14</v>
      </c>
      <c r="F101" s="1420">
        <f>IF(E101&gt;0,E101,0)</f>
        <v>0</v>
      </c>
      <c r="G101" s="1420">
        <f>IF(E101&lt;0,E101,0)</f>
        <v>-14</v>
      </c>
      <c r="H101" s="1365">
        <f>'Table 5C1 - Type 2s'!C6</f>
        <v>3266.8023094143459</v>
      </c>
      <c r="I101" s="1365">
        <f>'Table 5C1 - Type 2s'!E6</f>
        <v>801.47762416806802</v>
      </c>
      <c r="J101" s="1365">
        <f t="shared" ref="J101:J105" si="25">(I101+H101)*0.5</f>
        <v>2034.1399667912069</v>
      </c>
      <c r="K101" s="1354">
        <f>E101*J101</f>
        <v>-28477.959535076898</v>
      </c>
      <c r="L101" s="1365">
        <f>IF(K101&gt;0,K101,0)</f>
        <v>0</v>
      </c>
      <c r="M101" s="1365">
        <f>IF(K101&lt;0,K101,0)</f>
        <v>-28477.959535076898</v>
      </c>
    </row>
    <row r="102" spans="1:13" s="1227" customFormat="1" ht="14.25" customHeight="1">
      <c r="A102" s="1257"/>
      <c r="B102" s="1258" t="s">
        <v>640</v>
      </c>
      <c r="C102" s="1419">
        <v>0</v>
      </c>
      <c r="D102" s="1419">
        <f>'[16]Final 2-1-12 SIS'!$P$42</f>
        <v>1</v>
      </c>
      <c r="E102" s="1420">
        <f t="shared" si="24"/>
        <v>1</v>
      </c>
      <c r="F102" s="1420">
        <f>IF(E102&gt;0,E102,0)</f>
        <v>1</v>
      </c>
      <c r="G102" s="1420">
        <f>IF(E102&lt;0,E102,0)</f>
        <v>0</v>
      </c>
      <c r="H102" s="1365">
        <f>'Table 3 Levels 1&amp;2'!AL39</f>
        <v>5420.1173375514345</v>
      </c>
      <c r="I102" s="1365">
        <f>'Table 4 Level 3'!P37</f>
        <v>559.77</v>
      </c>
      <c r="J102" s="1365">
        <f t="shared" si="25"/>
        <v>2989.943668775717</v>
      </c>
      <c r="K102" s="1354">
        <f>E102*J102</f>
        <v>2989.943668775717</v>
      </c>
      <c r="L102" s="1365">
        <f>IF(K102&gt;0,K102,0)</f>
        <v>2989.943668775717</v>
      </c>
      <c r="M102" s="1365">
        <f>IF(K102&lt;0,K102,0)</f>
        <v>0</v>
      </c>
    </row>
    <row r="103" spans="1:13" s="1227" customFormat="1" ht="14.25" customHeight="1">
      <c r="A103" s="1257"/>
      <c r="B103" s="1258" t="s">
        <v>641</v>
      </c>
      <c r="C103" s="1419">
        <f>[14]Sheet1!$H$71</f>
        <v>2</v>
      </c>
      <c r="D103" s="1419">
        <f>'[16]Final 2-1-12 SIS'!$P77</f>
        <v>2</v>
      </c>
      <c r="E103" s="1420">
        <f t="shared" si="24"/>
        <v>0</v>
      </c>
      <c r="F103" s="1420">
        <f>IF(E103&gt;0,E103,0)</f>
        <v>0</v>
      </c>
      <c r="G103" s="1420">
        <f>IF(E103&lt;0,E103,0)</f>
        <v>0</v>
      </c>
      <c r="H103" s="1365">
        <f>'Table 5C1 - Type 2s'!C8</f>
        <v>4997.7460750973305</v>
      </c>
      <c r="I103" s="1365">
        <f>'Table 5C1 - Type 2s'!E8</f>
        <v>715.61</v>
      </c>
      <c r="J103" s="1365">
        <f t="shared" si="25"/>
        <v>2856.6780375486651</v>
      </c>
      <c r="K103" s="1354">
        <f>E103*J103</f>
        <v>0</v>
      </c>
      <c r="L103" s="1365">
        <f>IF(K103&gt;0,K103,0)</f>
        <v>0</v>
      </c>
      <c r="M103" s="1365">
        <f>IF(K103&lt;0,K103,0)</f>
        <v>0</v>
      </c>
    </row>
    <row r="104" spans="1:13" s="1227" customFormat="1" ht="14.25" customHeight="1">
      <c r="A104" s="1257"/>
      <c r="B104" s="1258" t="s">
        <v>642</v>
      </c>
      <c r="C104" s="1419">
        <f>[14]Sheet1!$H$72</f>
        <v>2</v>
      </c>
      <c r="D104" s="1419">
        <f>'[16]Final 2-1-12 SIS'!$P78</f>
        <v>3</v>
      </c>
      <c r="E104" s="1420">
        <f t="shared" si="24"/>
        <v>1</v>
      </c>
      <c r="F104" s="1420">
        <f>IF(E104&gt;0,E104,0)</f>
        <v>1</v>
      </c>
      <c r="G104" s="1420">
        <f>IF(E104&lt;0,E104,0)</f>
        <v>0</v>
      </c>
      <c r="H104" s="1365">
        <f>'Table 5C1 - Type 2s'!C9</f>
        <v>5856.8933841064891</v>
      </c>
      <c r="I104" s="1365">
        <f>'Table 5C1 - Type 2s'!E9</f>
        <v>798.7</v>
      </c>
      <c r="J104" s="1365">
        <f t="shared" si="25"/>
        <v>3327.7966920532444</v>
      </c>
      <c r="K104" s="1354">
        <f>E104*J104</f>
        <v>3327.7966920532444</v>
      </c>
      <c r="L104" s="1365">
        <f>IF(K104&gt;0,K104,0)</f>
        <v>3327.7966920532444</v>
      </c>
      <c r="M104" s="1365">
        <f>IF(K104&lt;0,K104,0)</f>
        <v>0</v>
      </c>
    </row>
    <row r="105" spans="1:13" s="1227" customFormat="1" ht="14.25" customHeight="1">
      <c r="A105" s="1257"/>
      <c r="B105" s="1259" t="s">
        <v>643</v>
      </c>
      <c r="C105" s="1419">
        <v>0</v>
      </c>
      <c r="D105" s="1419">
        <f>'[16]Final 2-1-12 SIS'!$P79</f>
        <v>2</v>
      </c>
      <c r="E105" s="1420">
        <f t="shared" si="24"/>
        <v>2</v>
      </c>
      <c r="F105" s="1420">
        <f>IF(E105&gt;0,E105,0)</f>
        <v>2</v>
      </c>
      <c r="G105" s="1420">
        <f>IF(E105&lt;0,E105,0)</f>
        <v>0</v>
      </c>
      <c r="H105" s="1365">
        <f>'Table 5C1 - Type 2s'!C10</f>
        <v>5493.3241993293232</v>
      </c>
      <c r="I105" s="1365">
        <f>'Table 5C1 - Type 2s'!E10</f>
        <v>705.67</v>
      </c>
      <c r="J105" s="1365">
        <f t="shared" si="25"/>
        <v>3099.4970996646616</v>
      </c>
      <c r="K105" s="1354">
        <f>E105*J105</f>
        <v>6198.9941993293232</v>
      </c>
      <c r="L105" s="1365">
        <f>IF(K105&gt;0,K105,0)</f>
        <v>6198.9941993293232</v>
      </c>
      <c r="M105" s="1365">
        <f>IF(K105&lt;0,K105,0)</f>
        <v>0</v>
      </c>
    </row>
    <row r="106" spans="1:13" s="1204" customFormat="1" ht="15.75" thickBot="1">
      <c r="A106" s="1260">
        <v>343001</v>
      </c>
      <c r="B106" s="1201" t="s">
        <v>988</v>
      </c>
      <c r="C106" s="1370">
        <f t="shared" ref="C106:M106" si="26">SUM(C101:C105)</f>
        <v>208</v>
      </c>
      <c r="D106" s="1370">
        <f>SUM(D101:D105)</f>
        <v>198</v>
      </c>
      <c r="E106" s="1370">
        <f t="shared" si="26"/>
        <v>-10</v>
      </c>
      <c r="F106" s="1370">
        <f t="shared" si="26"/>
        <v>4</v>
      </c>
      <c r="G106" s="1370">
        <f t="shared" si="26"/>
        <v>-14</v>
      </c>
      <c r="H106" s="1371"/>
      <c r="I106" s="1371"/>
      <c r="J106" s="1371"/>
      <c r="K106" s="1371">
        <f t="shared" si="26"/>
        <v>-15961.224974918614</v>
      </c>
      <c r="L106" s="1371">
        <f t="shared" si="26"/>
        <v>12516.734560158286</v>
      </c>
      <c r="M106" s="1371">
        <f t="shared" si="26"/>
        <v>-28477.959535076898</v>
      </c>
    </row>
    <row r="107" spans="1:13" s="1204" customFormat="1" ht="6.75" customHeight="1" thickTop="1">
      <c r="A107" s="1262"/>
      <c r="B107" s="1263"/>
      <c r="C107" s="1422"/>
      <c r="D107" s="1422"/>
      <c r="E107" s="1423"/>
      <c r="F107" s="1423"/>
      <c r="G107" s="1423"/>
      <c r="H107" s="1424"/>
      <c r="I107" s="1424"/>
      <c r="J107" s="1424"/>
      <c r="K107" s="1424"/>
      <c r="L107" s="1424"/>
      <c r="M107" s="1424"/>
    </row>
    <row r="108" spans="1:13" s="1227" customFormat="1" ht="14.25" customHeight="1">
      <c r="A108" s="1257"/>
      <c r="B108" s="1258" t="s">
        <v>652</v>
      </c>
      <c r="C108" s="1419">
        <f>[14]Sheet1!$G$60</f>
        <v>359</v>
      </c>
      <c r="D108" s="1419">
        <f>'[16]Final 2-1-12 SIS'!$O$66</f>
        <v>360</v>
      </c>
      <c r="E108" s="1420">
        <f>D108-C108</f>
        <v>1</v>
      </c>
      <c r="F108" s="1420">
        <f>IF(E108&gt;0,E108,0)</f>
        <v>1</v>
      </c>
      <c r="G108" s="1420">
        <f>IF(E108&lt;0,E108,0)</f>
        <v>0</v>
      </c>
      <c r="H108" s="1365">
        <f>'Table 5C1 - Type 2s'!C24</f>
        <v>5099.6603048621055</v>
      </c>
      <c r="I108" s="1365">
        <f>'Table 5C1 - Type 2s'!E24</f>
        <v>614.66000000000008</v>
      </c>
      <c r="J108" s="1365">
        <f t="shared" ref="J108:J111" si="27">(I108+H108)*0.5</f>
        <v>2857.1601524310527</v>
      </c>
      <c r="K108" s="1354">
        <f>E108*J108</f>
        <v>2857.1601524310527</v>
      </c>
      <c r="L108" s="1365">
        <f>IF(K108&gt;0,K108,0)</f>
        <v>2857.1601524310527</v>
      </c>
      <c r="M108" s="1365">
        <f>IF(K108&lt;0,K108,0)</f>
        <v>0</v>
      </c>
    </row>
    <row r="109" spans="1:13" s="1227" customFormat="1" ht="14.25" customHeight="1">
      <c r="A109" s="1257"/>
      <c r="B109" s="1258" t="s">
        <v>653</v>
      </c>
      <c r="C109" s="1419">
        <f>[14]Sheet1!$G$41</f>
        <v>2</v>
      </c>
      <c r="D109" s="1419">
        <f>'[16]Final 2-1-12 SIS'!$O$47</f>
        <v>2</v>
      </c>
      <c r="E109" s="1420">
        <f t="shared" ref="E109:E111" si="28">D109-C109</f>
        <v>0</v>
      </c>
      <c r="F109" s="1420">
        <f>IF(E109&gt;0,E109,0)</f>
        <v>0</v>
      </c>
      <c r="G109" s="1420">
        <f>IF(E109&lt;0,E109,0)</f>
        <v>0</v>
      </c>
      <c r="H109" s="1365">
        <f>'Table 5C1 - Type 2s'!C25</f>
        <v>5472.0894180640744</v>
      </c>
      <c r="I109" s="1365">
        <f>'Table 5C1 - Type 2s'!E25</f>
        <v>653.61</v>
      </c>
      <c r="J109" s="1365">
        <f t="shared" si="27"/>
        <v>3062.849709032037</v>
      </c>
      <c r="K109" s="1354">
        <f>E109*J109</f>
        <v>0</v>
      </c>
      <c r="L109" s="1365">
        <f>IF(K109&gt;0,K109,0)</f>
        <v>0</v>
      </c>
      <c r="M109" s="1365">
        <f>IF(K109&lt;0,K109,0)</f>
        <v>0</v>
      </c>
    </row>
    <row r="110" spans="1:13" s="1227" customFormat="1" ht="14.25" customHeight="1">
      <c r="A110" s="1257"/>
      <c r="B110" s="1258" t="s">
        <v>654</v>
      </c>
      <c r="C110" s="1419">
        <f>[14]Sheet1!$G$35</f>
        <v>2</v>
      </c>
      <c r="D110" s="1419">
        <f>'[16]Final 2-1-12 SIS'!$O$41</f>
        <v>1</v>
      </c>
      <c r="E110" s="1420">
        <f t="shared" si="28"/>
        <v>-1</v>
      </c>
      <c r="F110" s="1420">
        <f>IF(E110&gt;0,E110,0)</f>
        <v>0</v>
      </c>
      <c r="G110" s="1420">
        <f>IF(E110&lt;0,E110,0)</f>
        <v>-1</v>
      </c>
      <c r="H110" s="1365">
        <f>'Table 5C1 - Type 2s'!C26</f>
        <v>4232.8839525109115</v>
      </c>
      <c r="I110" s="1365">
        <f>'Table 5C1 - Type 2s'!E26</f>
        <v>620.83000000000004</v>
      </c>
      <c r="J110" s="1365">
        <f t="shared" si="27"/>
        <v>2426.8569762554557</v>
      </c>
      <c r="K110" s="1354">
        <f>E110*J110</f>
        <v>-2426.8569762554557</v>
      </c>
      <c r="L110" s="1365">
        <f>IF(K110&gt;0,K110,0)</f>
        <v>0</v>
      </c>
      <c r="M110" s="1365">
        <f>IF(K110&lt;0,K110,0)</f>
        <v>-2426.8569762554557</v>
      </c>
    </row>
    <row r="111" spans="1:13" s="1227" customFormat="1" ht="14.25" customHeight="1">
      <c r="A111" s="1257"/>
      <c r="B111" s="1425" t="s">
        <v>655</v>
      </c>
      <c r="C111" s="1419">
        <f>[14]Sheet1!$G$76</f>
        <v>1</v>
      </c>
      <c r="D111" s="1419">
        <f>'[16]Final 2-1-12 SIS'!$O$80</f>
        <v>1</v>
      </c>
      <c r="E111" s="1420">
        <f t="shared" si="28"/>
        <v>0</v>
      </c>
      <c r="F111" s="1420">
        <f>IF(E111&gt;0,E111,0)</f>
        <v>0</v>
      </c>
      <c r="G111" s="1420">
        <f>IF(E111&lt;0,E111,0)</f>
        <v>0</v>
      </c>
      <c r="H111" s="1365">
        <f>'Table 5C1 - Type 2s'!C27</f>
        <v>5099.6603048621055</v>
      </c>
      <c r="I111" s="1365">
        <f>'Table 5C1 - Type 2s'!E27</f>
        <v>614.66000000000008</v>
      </c>
      <c r="J111" s="1365">
        <f t="shared" si="27"/>
        <v>2857.1601524310527</v>
      </c>
      <c r="K111" s="1354">
        <f>E111*J111</f>
        <v>0</v>
      </c>
      <c r="L111" s="1365">
        <f>IF(K111&gt;0,K111,0)</f>
        <v>0</v>
      </c>
      <c r="M111" s="1365">
        <f>IF(K111&lt;0,K111,0)</f>
        <v>0</v>
      </c>
    </row>
    <row r="112" spans="1:13" s="1204" customFormat="1" ht="15.75" thickBot="1">
      <c r="A112" s="1260">
        <v>341001</v>
      </c>
      <c r="B112" s="1201" t="s">
        <v>989</v>
      </c>
      <c r="C112" s="1370">
        <f t="shared" ref="C112:G112" si="29">SUM(C108:C111)</f>
        <v>364</v>
      </c>
      <c r="D112" s="1370">
        <f>SUM(D108:D111)</f>
        <v>364</v>
      </c>
      <c r="E112" s="1370">
        <f t="shared" si="29"/>
        <v>0</v>
      </c>
      <c r="F112" s="1370">
        <f t="shared" si="29"/>
        <v>1</v>
      </c>
      <c r="G112" s="1370">
        <f t="shared" si="29"/>
        <v>-1</v>
      </c>
      <c r="H112" s="1371"/>
      <c r="I112" s="1371"/>
      <c r="J112" s="1371"/>
      <c r="K112" s="1371">
        <f>SUM(K108:K111)</f>
        <v>430.30317617559695</v>
      </c>
      <c r="L112" s="1371">
        <f t="shared" ref="L112:M112" si="30">SUM(L108:L111)</f>
        <v>2857.1601524310527</v>
      </c>
      <c r="M112" s="1371">
        <f t="shared" si="30"/>
        <v>-2426.8569762554557</v>
      </c>
    </row>
    <row r="113" spans="1:13" s="1245" customFormat="1" ht="6.75" customHeight="1" thickTop="1">
      <c r="A113" s="1262"/>
      <c r="B113" s="1263"/>
      <c r="C113" s="1422"/>
      <c r="D113" s="1422"/>
      <c r="E113" s="1423"/>
      <c r="F113" s="1423"/>
      <c r="G113" s="1423"/>
      <c r="H113" s="1424"/>
      <c r="I113" s="1424"/>
      <c r="J113" s="1424"/>
      <c r="K113" s="1424"/>
      <c r="L113" s="1424"/>
      <c r="M113" s="1424"/>
    </row>
    <row r="114" spans="1:13" s="1227" customFormat="1" ht="15" customHeight="1">
      <c r="A114" s="1257"/>
      <c r="B114" s="1258" t="s">
        <v>662</v>
      </c>
      <c r="C114" s="1419">
        <f>[14]Sheet1!$J$40</f>
        <v>264</v>
      </c>
      <c r="D114" s="1419">
        <f>'[16]Final 2-1-12 SIS'!$R$46</f>
        <v>276</v>
      </c>
      <c r="E114" s="1420">
        <f t="shared" ref="E114:E119" si="31">D114-C114</f>
        <v>12</v>
      </c>
      <c r="F114" s="1420">
        <f>IF(E114&gt;0,E114,0)</f>
        <v>12</v>
      </c>
      <c r="G114" s="1420">
        <f>IF(E114&lt;0,E114,0)</f>
        <v>0</v>
      </c>
      <c r="H114" s="1365">
        <f>'Table 5C1 - Type 2s'!C41</f>
        <v>3252.0270959716217</v>
      </c>
      <c r="I114" s="1365">
        <f>'Table 5C1 - Type 2s'!E41</f>
        <v>746.0335616438357</v>
      </c>
      <c r="J114" s="1365">
        <f t="shared" ref="J114:J119" si="32">(I114+H114)*0.5</f>
        <v>1999.0303288077287</v>
      </c>
      <c r="K114" s="1354">
        <f>E114*J114</f>
        <v>23988.363945692745</v>
      </c>
      <c r="L114" s="1365">
        <f>IF(K114&gt;0,K114,0)</f>
        <v>23988.363945692745</v>
      </c>
      <c r="M114" s="1365">
        <f>IF(K114&lt;0,K114,0)</f>
        <v>0</v>
      </c>
    </row>
    <row r="115" spans="1:13" s="1227" customFormat="1" ht="15" customHeight="1">
      <c r="A115" s="1257"/>
      <c r="B115" s="1258" t="s">
        <v>663</v>
      </c>
      <c r="C115" s="1419">
        <f>[14]Sheet1!$J$30</f>
        <v>27</v>
      </c>
      <c r="D115" s="1419">
        <f>'[16]Final 2-1-12 SIS'!$R$36</f>
        <v>28</v>
      </c>
      <c r="E115" s="1420">
        <f t="shared" si="31"/>
        <v>1</v>
      </c>
      <c r="F115" s="1420">
        <f>IF(E115&gt;0,E115,0)</f>
        <v>1</v>
      </c>
      <c r="G115" s="1420">
        <f>IF(E115&lt;0,E115,0)</f>
        <v>0</v>
      </c>
      <c r="H115" s="1365">
        <f>'Table 5C1 - Type 2s'!C42</f>
        <v>3150.3479009796833</v>
      </c>
      <c r="I115" s="1365">
        <f>'Table 5C1 - Type 2s'!E42</f>
        <v>836.83</v>
      </c>
      <c r="J115" s="1365">
        <f t="shared" si="32"/>
        <v>1993.5889504898416</v>
      </c>
      <c r="K115" s="1354">
        <f>E115*J115</f>
        <v>1993.5889504898416</v>
      </c>
      <c r="L115" s="1365">
        <f>IF(K115&gt;0,K115,0)</f>
        <v>1993.5889504898416</v>
      </c>
      <c r="M115" s="1365">
        <f>IF(K115&lt;0,K115,0)</f>
        <v>0</v>
      </c>
    </row>
    <row r="116" spans="1:13" s="1227" customFormat="1" ht="15" customHeight="1">
      <c r="A116" s="1257"/>
      <c r="B116" s="1258" t="s">
        <v>664</v>
      </c>
      <c r="C116" s="1419">
        <f>[14]Sheet1!$J$48</f>
        <v>1</v>
      </c>
      <c r="D116" s="1419">
        <f>'[16]Final 2-1-12 SIS'!$R$54</f>
        <v>1</v>
      </c>
      <c r="E116" s="1420">
        <f t="shared" si="31"/>
        <v>0</v>
      </c>
      <c r="F116" s="1420">
        <f t="shared" ref="F116:F118" si="33">IF(E116&gt;0,E116,0)</f>
        <v>0</v>
      </c>
      <c r="G116" s="1420">
        <f t="shared" ref="G116:G118" si="34">IF(E116&lt;0,E116,0)</f>
        <v>0</v>
      </c>
      <c r="H116" s="1365">
        <f>'Table 3 Levels 1&amp;2'!AL51</f>
        <v>4357.2434646748297</v>
      </c>
      <c r="I116" s="1365">
        <f>'Table 4 Level 3'!P49</f>
        <v>663.16000000000008</v>
      </c>
      <c r="J116" s="1365">
        <f t="shared" si="32"/>
        <v>2510.2017323374148</v>
      </c>
      <c r="K116" s="1354">
        <f t="shared" ref="K116:K118" si="35">E116*J116</f>
        <v>0</v>
      </c>
      <c r="L116" s="1365">
        <f t="shared" ref="L116:L118" si="36">IF(K116&gt;0,K116,0)</f>
        <v>0</v>
      </c>
      <c r="M116" s="1365">
        <f t="shared" ref="M116:M118" si="37">IF(K116&lt;0,K116,0)</f>
        <v>0</v>
      </c>
    </row>
    <row r="117" spans="1:13" s="1227" customFormat="1" ht="15" customHeight="1">
      <c r="A117" s="1257"/>
      <c r="B117" s="1258" t="s">
        <v>665</v>
      </c>
      <c r="C117" s="1419">
        <f>[14]Sheet1!$J$49</f>
        <v>1</v>
      </c>
      <c r="D117" s="1419">
        <f>'[16]Final 2-1-12 SIS'!$R$55</f>
        <v>1</v>
      </c>
      <c r="E117" s="1420">
        <f t="shared" si="31"/>
        <v>0</v>
      </c>
      <c r="F117" s="1420">
        <f t="shared" si="33"/>
        <v>0</v>
      </c>
      <c r="G117" s="1420">
        <f t="shared" si="34"/>
        <v>0</v>
      </c>
      <c r="H117" s="1365">
        <f>'Table 3 Levels 1&amp;2'!AL52</f>
        <v>2430.4793213149524</v>
      </c>
      <c r="I117" s="1365">
        <f>'Table 4 Level 3'!P50</f>
        <v>753.96000000000015</v>
      </c>
      <c r="J117" s="1365">
        <f t="shared" si="32"/>
        <v>1592.2196606574762</v>
      </c>
      <c r="K117" s="1354">
        <f t="shared" si="35"/>
        <v>0</v>
      </c>
      <c r="L117" s="1365">
        <f t="shared" si="36"/>
        <v>0</v>
      </c>
      <c r="M117" s="1365">
        <f t="shared" si="37"/>
        <v>0</v>
      </c>
    </row>
    <row r="118" spans="1:13" s="1227" customFormat="1" ht="15" customHeight="1">
      <c r="A118" s="1257"/>
      <c r="B118" s="1258" t="s">
        <v>666</v>
      </c>
      <c r="C118" s="1419">
        <f>[14]Sheet1!$J$52</f>
        <v>2</v>
      </c>
      <c r="D118" s="1419">
        <f>'[16]Final 2-1-12 SIS'!$R$58</f>
        <v>2</v>
      </c>
      <c r="E118" s="1420">
        <f t="shared" si="31"/>
        <v>0</v>
      </c>
      <c r="F118" s="1420">
        <f t="shared" si="33"/>
        <v>0</v>
      </c>
      <c r="G118" s="1420">
        <f t="shared" si="34"/>
        <v>0</v>
      </c>
      <c r="H118" s="1365">
        <f>'Table 3 Levels 1&amp;2'!AL55</f>
        <v>3462.9674441491134</v>
      </c>
      <c r="I118" s="1365">
        <f>'Table 4 Level 3'!P53</f>
        <v>871.07</v>
      </c>
      <c r="J118" s="1365">
        <f t="shared" si="32"/>
        <v>2167.0187220745565</v>
      </c>
      <c r="K118" s="1354">
        <f t="shared" si="35"/>
        <v>0</v>
      </c>
      <c r="L118" s="1365">
        <f t="shared" si="36"/>
        <v>0</v>
      </c>
      <c r="M118" s="1365">
        <f t="shared" si="37"/>
        <v>0</v>
      </c>
    </row>
    <row r="119" spans="1:13" s="1227" customFormat="1" ht="14.25" customHeight="1">
      <c r="A119" s="1257"/>
      <c r="B119" s="1258" t="s">
        <v>667</v>
      </c>
      <c r="C119" s="1419">
        <f>[14]Sheet1!$J$56</f>
        <v>1</v>
      </c>
      <c r="D119" s="1419">
        <f>'[16]Final 2-1-12 SIS'!$R$62</f>
        <v>1</v>
      </c>
      <c r="E119" s="1420">
        <f t="shared" si="31"/>
        <v>0</v>
      </c>
      <c r="F119" s="1420">
        <f>IF(E119&gt;0,E119,0)</f>
        <v>0</v>
      </c>
      <c r="G119" s="1420">
        <f>IF(E119&lt;0,E119,0)</f>
        <v>0</v>
      </c>
      <c r="H119" s="1365">
        <f>'Table 5C1 - Type 2s'!C46</f>
        <v>4986.190392708143</v>
      </c>
      <c r="I119" s="1365">
        <f>'Table 5C1 - Type 2s'!E46</f>
        <v>658.37</v>
      </c>
      <c r="J119" s="1365">
        <f t="shared" si="32"/>
        <v>2822.2801963540714</v>
      </c>
      <c r="K119" s="1354">
        <f>E119*J119</f>
        <v>0</v>
      </c>
      <c r="L119" s="1365">
        <f>IF(K119&gt;0,K119,0)</f>
        <v>0</v>
      </c>
      <c r="M119" s="1365">
        <f>IF(K119&lt;0,K119,0)</f>
        <v>0</v>
      </c>
    </row>
    <row r="120" spans="1:13" s="1204" customFormat="1" ht="15.75" thickBot="1">
      <c r="A120" s="1260">
        <v>344</v>
      </c>
      <c r="B120" s="1201" t="s">
        <v>990</v>
      </c>
      <c r="C120" s="1370">
        <f t="shared" ref="C120:M120" si="38">SUM(C114:C119)</f>
        <v>296</v>
      </c>
      <c r="D120" s="1370">
        <f>SUM(D114:D119)</f>
        <v>309</v>
      </c>
      <c r="E120" s="1370">
        <f t="shared" si="38"/>
        <v>13</v>
      </c>
      <c r="F120" s="1370">
        <f t="shared" si="38"/>
        <v>13</v>
      </c>
      <c r="G120" s="1370">
        <f t="shared" si="38"/>
        <v>0</v>
      </c>
      <c r="H120" s="1371"/>
      <c r="I120" s="1371"/>
      <c r="J120" s="1371"/>
      <c r="K120" s="1371">
        <f t="shared" si="38"/>
        <v>25981.952896182585</v>
      </c>
      <c r="L120" s="1371">
        <f t="shared" si="38"/>
        <v>25981.952896182585</v>
      </c>
      <c r="M120" s="1371">
        <f t="shared" si="38"/>
        <v>0</v>
      </c>
    </row>
    <row r="121" spans="1:13" s="1204" customFormat="1" ht="6.75" customHeight="1" thickTop="1">
      <c r="A121" s="1266"/>
      <c r="B121" s="1263"/>
      <c r="C121" s="1422"/>
      <c r="D121" s="1422"/>
      <c r="E121" s="1423"/>
      <c r="F121" s="1423"/>
      <c r="G121" s="1423"/>
      <c r="H121" s="1424"/>
      <c r="I121" s="1424"/>
      <c r="J121" s="1424"/>
      <c r="K121" s="1424"/>
      <c r="L121" s="1424"/>
      <c r="M121" s="1424"/>
    </row>
    <row r="122" spans="1:13" s="1204" customFormat="1" ht="14.25" customHeight="1">
      <c r="A122" s="1234"/>
      <c r="B122" s="1267" t="s">
        <v>662</v>
      </c>
      <c r="C122" s="1393">
        <f>[14]Sheet1!$N$40</f>
        <v>52</v>
      </c>
      <c r="D122" s="1393">
        <f>'[16]Final 2-1-12 SIS'!$V$46</f>
        <v>60</v>
      </c>
      <c r="E122" s="1394">
        <f t="shared" ref="E122:E126" si="39">D122-C122</f>
        <v>8</v>
      </c>
      <c r="F122" s="1394">
        <f>IF(E122&gt;0,E122,0)</f>
        <v>8</v>
      </c>
      <c r="G122" s="1394">
        <f>IF(E122&lt;0,E122,0)</f>
        <v>0</v>
      </c>
      <c r="H122" s="1413">
        <f>'Table 5C1 - Type 2s'!C60</f>
        <v>3252.0270959716217</v>
      </c>
      <c r="I122" s="1395">
        <f>'Table 5C1 - Type 2s'!E60</f>
        <v>746.0335616438357</v>
      </c>
      <c r="J122" s="1395">
        <f t="shared" ref="J122:J126" si="40">(I122+H122)*0.5</f>
        <v>1999.0303288077287</v>
      </c>
      <c r="K122" s="1395">
        <f>E122*J122</f>
        <v>15992.242630461829</v>
      </c>
      <c r="L122" s="1395">
        <f>IF(K122&gt;0,K122,0)</f>
        <v>15992.242630461829</v>
      </c>
      <c r="M122" s="1413">
        <f>IF(K122&lt;0,K122,0)</f>
        <v>0</v>
      </c>
    </row>
    <row r="123" spans="1:13" s="1430" customFormat="1" ht="15.75" customHeight="1">
      <c r="A123" s="1474"/>
      <c r="B123" s="1258" t="s">
        <v>663</v>
      </c>
      <c r="C123" s="1419">
        <f>[14]Sheet1!$N$30</f>
        <v>50</v>
      </c>
      <c r="D123" s="1419">
        <f>'[16]Final 2-1-12 SIS'!$V$36</f>
        <v>40</v>
      </c>
      <c r="E123" s="1420">
        <f t="shared" si="39"/>
        <v>-10</v>
      </c>
      <c r="F123" s="1420">
        <f>IF(E123&gt;0,E123,0)</f>
        <v>0</v>
      </c>
      <c r="G123" s="1420">
        <f>IF(E123&lt;0,E123,0)</f>
        <v>-10</v>
      </c>
      <c r="H123" s="1365">
        <f>'Table 3 Levels 1&amp;2'!AL33</f>
        <v>3150.3479009796833</v>
      </c>
      <c r="I123" s="1365">
        <f>'Table 4 Level 3'!P31</f>
        <v>836.83</v>
      </c>
      <c r="J123" s="1365">
        <f t="shared" si="40"/>
        <v>1993.5889504898416</v>
      </c>
      <c r="K123" s="1354">
        <f>E123*J123</f>
        <v>-19935.889504898416</v>
      </c>
      <c r="L123" s="1365">
        <f>IF(K123&gt;0,K123,0)</f>
        <v>0</v>
      </c>
      <c r="M123" s="1365">
        <f>IF(K123&lt;0,K123,0)</f>
        <v>-19935.889504898416</v>
      </c>
    </row>
    <row r="124" spans="1:13" s="1430" customFormat="1" ht="15.75" customHeight="1">
      <c r="A124" s="1474"/>
      <c r="B124" s="1258" t="s">
        <v>673</v>
      </c>
      <c r="C124" s="1419">
        <v>0</v>
      </c>
      <c r="D124" s="1419">
        <f>'[16]Final 2-1-12 SIS'!$V$48</f>
        <v>1</v>
      </c>
      <c r="E124" s="1420">
        <f t="shared" si="39"/>
        <v>1</v>
      </c>
      <c r="F124" s="1420">
        <f t="shared" ref="F124:F126" si="41">IF(E124&gt;0,E124,0)</f>
        <v>1</v>
      </c>
      <c r="G124" s="1420">
        <f t="shared" ref="G124:G126" si="42">IF(E124&lt;0,E124,0)</f>
        <v>0</v>
      </c>
      <c r="H124" s="1365">
        <f>'Table 3 Levels 1&amp;2'!AL45</f>
        <v>2396.5582752145924</v>
      </c>
      <c r="I124" s="1365">
        <f>'Table 4 Level 3'!P43</f>
        <v>829.92000000000007</v>
      </c>
      <c r="J124" s="1365">
        <f t="shared" si="40"/>
        <v>1613.2391376072962</v>
      </c>
      <c r="K124" s="1354">
        <f t="shared" ref="K124:K126" si="43">E124*J124</f>
        <v>1613.2391376072962</v>
      </c>
      <c r="L124" s="1365">
        <f t="shared" ref="L124:L126" si="44">IF(K124&gt;0,K124,0)</f>
        <v>1613.2391376072962</v>
      </c>
      <c r="M124" s="1365">
        <f t="shared" ref="M124:M126" si="45">IF(K124&lt;0,K124,0)</f>
        <v>0</v>
      </c>
    </row>
    <row r="125" spans="1:13" s="1430" customFormat="1" ht="15.75" customHeight="1">
      <c r="A125" s="1474"/>
      <c r="B125" s="1258" t="s">
        <v>665</v>
      </c>
      <c r="C125" s="1419">
        <v>0</v>
      </c>
      <c r="D125" s="1419">
        <f>'[16]Final 2-1-12 SIS'!$V$55</f>
        <v>1</v>
      </c>
      <c r="E125" s="1420">
        <f t="shared" si="39"/>
        <v>1</v>
      </c>
      <c r="F125" s="1420">
        <f t="shared" si="41"/>
        <v>1</v>
      </c>
      <c r="G125" s="1420">
        <f t="shared" si="42"/>
        <v>0</v>
      </c>
      <c r="H125" s="1365">
        <f>'Table 3 Levels 1&amp;2'!AL52</f>
        <v>2430.4793213149524</v>
      </c>
      <c r="I125" s="1365">
        <f>'Table 4 Level 3'!P50</f>
        <v>753.96000000000015</v>
      </c>
      <c r="J125" s="1365">
        <f t="shared" si="40"/>
        <v>1592.2196606574762</v>
      </c>
      <c r="K125" s="1354">
        <f t="shared" si="43"/>
        <v>1592.2196606574762</v>
      </c>
      <c r="L125" s="1365">
        <f t="shared" si="44"/>
        <v>1592.2196606574762</v>
      </c>
      <c r="M125" s="1365">
        <f t="shared" si="45"/>
        <v>0</v>
      </c>
    </row>
    <row r="126" spans="1:13" s="1430" customFormat="1" ht="15.75" customHeight="1">
      <c r="A126" s="1475"/>
      <c r="B126" s="1258" t="s">
        <v>667</v>
      </c>
      <c r="C126" s="1419">
        <v>0</v>
      </c>
      <c r="D126" s="1419">
        <f>'[16]Final 2-1-12 SIS'!$V$62</f>
        <v>1</v>
      </c>
      <c r="E126" s="1420">
        <f t="shared" si="39"/>
        <v>1</v>
      </c>
      <c r="F126" s="1420">
        <f t="shared" si="41"/>
        <v>1</v>
      </c>
      <c r="G126" s="1420">
        <f t="shared" si="42"/>
        <v>0</v>
      </c>
      <c r="H126" s="1365">
        <f>'Table 3 Levels 1&amp;2'!AL59</f>
        <v>4986.190392708143</v>
      </c>
      <c r="I126" s="1365">
        <f>'Table 4 Level 3'!P57</f>
        <v>658.37</v>
      </c>
      <c r="J126" s="1365">
        <f t="shared" si="40"/>
        <v>2822.2801963540714</v>
      </c>
      <c r="K126" s="1354">
        <f t="shared" si="43"/>
        <v>2822.2801963540714</v>
      </c>
      <c r="L126" s="1365">
        <f t="shared" si="44"/>
        <v>2822.2801963540714</v>
      </c>
      <c r="M126" s="1365">
        <f t="shared" si="45"/>
        <v>0</v>
      </c>
    </row>
    <row r="127" spans="1:13" s="1430" customFormat="1" ht="15.75" customHeight="1" thickBot="1">
      <c r="A127" s="1270">
        <v>348</v>
      </c>
      <c r="B127" s="1218" t="s">
        <v>991</v>
      </c>
      <c r="C127" s="1432">
        <f>SUM(C122:C123)</f>
        <v>102</v>
      </c>
      <c r="D127" s="1432">
        <f>SUM(D122:D126)</f>
        <v>103</v>
      </c>
      <c r="E127" s="1433">
        <f t="shared" ref="E127:G127" si="46">SUM(E122:E126)</f>
        <v>1</v>
      </c>
      <c r="F127" s="1432">
        <f t="shared" si="46"/>
        <v>11</v>
      </c>
      <c r="G127" s="1433">
        <f t="shared" si="46"/>
        <v>-10</v>
      </c>
      <c r="H127" s="1434"/>
      <c r="I127" s="1434"/>
      <c r="J127" s="1434"/>
      <c r="K127" s="1434">
        <f>SUM(K122:K126)</f>
        <v>2084.0921201822575</v>
      </c>
      <c r="L127" s="1434">
        <f>SUM(L122:L126)</f>
        <v>22019.981625080676</v>
      </c>
      <c r="M127" s="1434">
        <f>SUM(M122:M126)</f>
        <v>-19935.889504898416</v>
      </c>
    </row>
    <row r="128" spans="1:13" s="1204" customFormat="1" ht="6.75" customHeight="1" thickTop="1">
      <c r="A128" s="1272"/>
      <c r="B128" s="1273"/>
      <c r="C128" s="1435"/>
      <c r="D128" s="1435"/>
      <c r="E128" s="1436"/>
      <c r="F128" s="1436"/>
      <c r="G128" s="1436"/>
      <c r="H128" s="1437"/>
      <c r="I128" s="1437"/>
      <c r="J128" s="1437"/>
      <c r="K128" s="1437"/>
      <c r="L128" s="1437"/>
      <c r="M128" s="1437"/>
    </row>
    <row r="129" spans="1:13" s="1438" customFormat="1" ht="14.25" customHeight="1">
      <c r="A129" s="1274"/>
      <c r="B129" s="1267" t="s">
        <v>662</v>
      </c>
      <c r="C129" s="1382">
        <f>[14]Sheet1!$M$40</f>
        <v>43</v>
      </c>
      <c r="D129" s="1382">
        <f>'[16]Final 2-1-12 SIS'!$U$46</f>
        <v>45</v>
      </c>
      <c r="E129" s="1383">
        <f t="shared" ref="E129:E130" si="47">D129-C129</f>
        <v>2</v>
      </c>
      <c r="F129" s="1383">
        <f>IF(E129&gt;0,E129,0)</f>
        <v>2</v>
      </c>
      <c r="G129" s="1383">
        <f>IF(E129&lt;0,E129,0)</f>
        <v>0</v>
      </c>
      <c r="H129" s="1395">
        <f>'Table 5C1 - Type 2s'!C77</f>
        <v>3252.0270959716217</v>
      </c>
      <c r="I129" s="1395">
        <f>'Table 5C1 - Type 2s'!E77</f>
        <v>746.0335616438357</v>
      </c>
      <c r="J129" s="1395">
        <f t="shared" ref="J129:J130" si="48">(I129+H129)*0.5</f>
        <v>1999.0303288077287</v>
      </c>
      <c r="K129" s="1384">
        <f t="shared" ref="K129:K130" si="49">E129*J129</f>
        <v>3998.0606576154573</v>
      </c>
      <c r="L129" s="1384">
        <f t="shared" ref="L129:L130" si="50">IF(K129&gt;0,K129,0)</f>
        <v>3998.0606576154573</v>
      </c>
      <c r="M129" s="1428">
        <f t="shared" ref="M129:M130" si="51">IF(K129&lt;0,K129,0)</f>
        <v>0</v>
      </c>
    </row>
    <row r="130" spans="1:13" s="1430" customFormat="1" ht="15.75" customHeight="1">
      <c r="A130" s="1275"/>
      <c r="B130" s="1267" t="s">
        <v>663</v>
      </c>
      <c r="C130" s="1393">
        <f>[14]Sheet1!$M$30</f>
        <v>10</v>
      </c>
      <c r="D130" s="1393">
        <f>'[16]Final 2-1-12 SIS'!$U$36</f>
        <v>10</v>
      </c>
      <c r="E130" s="1394">
        <f t="shared" si="47"/>
        <v>0</v>
      </c>
      <c r="F130" s="1394">
        <f>IF(E130&gt;0,E130,0)</f>
        <v>0</v>
      </c>
      <c r="G130" s="1394">
        <f>IF(E130&lt;0,E130,0)</f>
        <v>0</v>
      </c>
      <c r="H130" s="1395">
        <f>'Table 3 Levels 1&amp;2'!AL33</f>
        <v>3150.3479009796833</v>
      </c>
      <c r="I130" s="1395">
        <f>'Table 4 Level 3'!P31</f>
        <v>836.83</v>
      </c>
      <c r="J130" s="1395">
        <f t="shared" si="48"/>
        <v>1993.5889504898416</v>
      </c>
      <c r="K130" s="1395">
        <f t="shared" si="49"/>
        <v>0</v>
      </c>
      <c r="L130" s="1395">
        <f t="shared" si="50"/>
        <v>0</v>
      </c>
      <c r="M130" s="1395">
        <f t="shared" si="51"/>
        <v>0</v>
      </c>
    </row>
    <row r="131" spans="1:13" s="1430" customFormat="1" ht="15.75" customHeight="1" thickBot="1">
      <c r="A131" s="1270">
        <v>347</v>
      </c>
      <c r="B131" s="1218" t="s">
        <v>992</v>
      </c>
      <c r="C131" s="1432">
        <f>SUM(C129:C130)</f>
        <v>53</v>
      </c>
      <c r="D131" s="1432">
        <f>SUM(D129:D130)</f>
        <v>55</v>
      </c>
      <c r="E131" s="1433">
        <f>SUM(E129:E130)</f>
        <v>2</v>
      </c>
      <c r="F131" s="1433">
        <f>SUM(F129:F130)</f>
        <v>2</v>
      </c>
      <c r="G131" s="1433">
        <f>SUM(G129:G130)</f>
        <v>0</v>
      </c>
      <c r="H131" s="1434"/>
      <c r="I131" s="1434"/>
      <c r="J131" s="1434"/>
      <c r="K131" s="1434">
        <f>SUM(K129:K130)</f>
        <v>3998.0606576154573</v>
      </c>
      <c r="L131" s="1434">
        <f>SUM(L129:L130)</f>
        <v>3998.0606576154573</v>
      </c>
      <c r="M131" s="1434">
        <f>SUM(M129:M130)</f>
        <v>0</v>
      </c>
    </row>
    <row r="132" spans="1:13" s="1204" customFormat="1" ht="6.75" customHeight="1" thickTop="1">
      <c r="A132" s="1277"/>
      <c r="B132" s="1273"/>
      <c r="C132" s="1435"/>
      <c r="D132" s="1435"/>
      <c r="E132" s="1436"/>
      <c r="F132" s="1436"/>
      <c r="G132" s="1436"/>
      <c r="H132" s="1437"/>
      <c r="I132" s="1437"/>
      <c r="J132" s="1437"/>
      <c r="K132" s="1437"/>
      <c r="L132" s="1437"/>
      <c r="M132" s="1437"/>
    </row>
    <row r="133" spans="1:13" s="1430" customFormat="1" ht="15.75" customHeight="1">
      <c r="A133" s="1275"/>
      <c r="B133" s="1278" t="s">
        <v>993</v>
      </c>
      <c r="C133" s="1393">
        <f>'[13]1_MFP &amp; Funded Membership'!$U$116</f>
        <v>625</v>
      </c>
      <c r="D133" s="1393">
        <f>'[16]Final 2-1-12 SIS'!$T$20</f>
        <v>640</v>
      </c>
      <c r="E133" s="1394">
        <f t="shared" ref="E133" si="52">D133-C133</f>
        <v>15</v>
      </c>
      <c r="F133" s="1394">
        <f>IF(E133&gt;0,E133,0)</f>
        <v>15</v>
      </c>
      <c r="G133" s="1394">
        <f>IF(E133&lt;0,E133,0)</f>
        <v>0</v>
      </c>
      <c r="H133" s="1395">
        <f>'Table 5C1 - Type 2s'!C91</f>
        <v>4312.1443052791201</v>
      </c>
      <c r="I133" s="1395">
        <f>'Table 5C1 - Type 2s'!E91</f>
        <v>608.04000000000008</v>
      </c>
      <c r="J133" s="1395">
        <f>(I133+H133)*0.5</f>
        <v>2460.09215263956</v>
      </c>
      <c r="K133" s="1395">
        <f>E133*J133</f>
        <v>36901.382289593399</v>
      </c>
      <c r="L133" s="1395">
        <f>IF(K133&gt;0,K133,0)</f>
        <v>36901.382289593399</v>
      </c>
      <c r="M133" s="1395">
        <f>IF(K133&lt;0,K133,0)</f>
        <v>0</v>
      </c>
    </row>
    <row r="134" spans="1:13" s="1430" customFormat="1" ht="15.75" customHeight="1" thickBot="1">
      <c r="A134" s="1270">
        <v>346</v>
      </c>
      <c r="B134" s="1218" t="s">
        <v>994</v>
      </c>
      <c r="C134" s="1432">
        <f>SUM(C133)</f>
        <v>625</v>
      </c>
      <c r="D134" s="1432">
        <f>SUM(D133)</f>
        <v>640</v>
      </c>
      <c r="E134" s="1433">
        <f>SUM(E133)</f>
        <v>15</v>
      </c>
      <c r="F134" s="1433">
        <f>SUM(F133)</f>
        <v>15</v>
      </c>
      <c r="G134" s="1433">
        <f>SUM(G133)</f>
        <v>0</v>
      </c>
      <c r="H134" s="1434"/>
      <c r="I134" s="1434"/>
      <c r="J134" s="1434"/>
      <c r="K134" s="1434">
        <f>SUM(K133)</f>
        <v>36901.382289593399</v>
      </c>
      <c r="L134" s="1434">
        <f>SUM(L133)</f>
        <v>36901.382289593399</v>
      </c>
      <c r="M134" s="1434">
        <f>SUM(M133)</f>
        <v>0</v>
      </c>
    </row>
    <row r="135" spans="1:13" s="1204" customFormat="1" ht="6.75" customHeight="1" thickTop="1">
      <c r="A135" s="1277"/>
      <c r="B135" s="1273"/>
      <c r="C135" s="1435"/>
      <c r="D135" s="1435"/>
      <c r="E135" s="1436"/>
      <c r="F135" s="1436"/>
      <c r="G135" s="1436"/>
      <c r="H135" s="1437"/>
      <c r="I135" s="1437"/>
      <c r="J135" s="1437"/>
      <c r="K135" s="1437"/>
      <c r="L135" s="1437"/>
      <c r="M135" s="1437"/>
    </row>
    <row r="136" spans="1:13" ht="14.25" customHeight="1">
      <c r="A136" s="1257">
        <v>396</v>
      </c>
      <c r="B136" s="1258" t="s">
        <v>995</v>
      </c>
      <c r="C136" s="1419">
        <f>'[15]State-Operated'!$AE$36-549</f>
        <v>5440</v>
      </c>
      <c r="D136" s="1419">
        <f>'[17]Selected Sites'!$H$148-523</f>
        <v>5591</v>
      </c>
      <c r="E136" s="1420">
        <f t="shared" ref="E136:E140" si="53">D136-C136</f>
        <v>151</v>
      </c>
      <c r="F136" s="1420">
        <f>IF(E136&gt;0,E136,0)</f>
        <v>151</v>
      </c>
      <c r="G136" s="1420">
        <f>IF(E136&lt;0,E136,0)</f>
        <v>0</v>
      </c>
      <c r="H136" s="1365">
        <f>'Table 5B1_RSD_Orleans'!D8</f>
        <v>3252.0270959716217</v>
      </c>
      <c r="I136" s="1365">
        <f>'Table 5B1_RSD_Orleans'!F8</f>
        <v>797.0524448632965</v>
      </c>
      <c r="J136" s="1365">
        <f t="shared" ref="J136:J140" si="54">(I136+H136)*0.5</f>
        <v>2024.5397704174591</v>
      </c>
      <c r="K136" s="1354">
        <f>E136*J136</f>
        <v>305705.5053330363</v>
      </c>
      <c r="L136" s="1365">
        <f>IF(K136&gt;0,K136,0)</f>
        <v>305705.5053330363</v>
      </c>
      <c r="M136" s="1365">
        <f>IF(K136&lt;0,K136,0)</f>
        <v>0</v>
      </c>
    </row>
    <row r="137" spans="1:13" ht="13.5" customHeight="1">
      <c r="A137" s="1257">
        <v>396201</v>
      </c>
      <c r="B137" s="1258" t="s">
        <v>996</v>
      </c>
      <c r="C137" s="1419">
        <f>'[15]State-Operated'!$AD$13</f>
        <v>169</v>
      </c>
      <c r="D137" s="1419">
        <f>'[17]Selected Sites'!$G$126</f>
        <v>166</v>
      </c>
      <c r="E137" s="1420">
        <f t="shared" si="53"/>
        <v>-3</v>
      </c>
      <c r="F137" s="1420">
        <f>IF(E137&gt;0,E137,0)</f>
        <v>0</v>
      </c>
      <c r="G137" s="1420">
        <f>IF(E137&lt;0,E137,0)</f>
        <v>-3</v>
      </c>
      <c r="H137" s="1365">
        <f>'Table 5B2_RSD_LA'!D28</f>
        <v>4384.9112825532311</v>
      </c>
      <c r="I137" s="1365">
        <f>'Table 5B2_RSD_LA'!F28</f>
        <v>744.76</v>
      </c>
      <c r="J137" s="1365">
        <f t="shared" si="54"/>
        <v>2564.8356412766157</v>
      </c>
      <c r="K137" s="1354">
        <f>E137*J137</f>
        <v>-7694.5069238298474</v>
      </c>
      <c r="L137" s="1365">
        <f>IF(K137&gt;0,K137,0)</f>
        <v>0</v>
      </c>
      <c r="M137" s="1365">
        <f>IF(K137&lt;0,K137,0)</f>
        <v>-7694.5069238298474</v>
      </c>
    </row>
    <row r="138" spans="1:13" ht="14.25">
      <c r="A138" s="1257">
        <v>396200</v>
      </c>
      <c r="B138" s="1279" t="s">
        <v>997</v>
      </c>
      <c r="C138" s="1441">
        <f>'[15]State-Operated'!$AD$17</f>
        <v>344</v>
      </c>
      <c r="D138" s="1441">
        <f>'[17]Selected Sites'!$G$128</f>
        <v>336</v>
      </c>
      <c r="E138" s="1442">
        <f t="shared" si="53"/>
        <v>-8</v>
      </c>
      <c r="F138" s="1442">
        <f>IF(E138&gt;0,E138,0)</f>
        <v>0</v>
      </c>
      <c r="G138" s="1442">
        <f>IF(E138&lt;0,E138,0)</f>
        <v>-8</v>
      </c>
      <c r="H138" s="1443">
        <f>'Table 5B2_RSD_LA'!D35</f>
        <v>5802.1110099800544</v>
      </c>
      <c r="I138" s="1443">
        <f>'Table 5B2_RSD_LA'!F35</f>
        <v>728.06</v>
      </c>
      <c r="J138" s="1443">
        <f t="shared" si="54"/>
        <v>3265.0855049900274</v>
      </c>
      <c r="K138" s="1444">
        <f>E138*J138</f>
        <v>-26120.684039920219</v>
      </c>
      <c r="L138" s="1443">
        <f>IF(K138&gt;0,K138,0)</f>
        <v>0</v>
      </c>
      <c r="M138" s="1443">
        <f>IF(K138&lt;0,K138,0)</f>
        <v>-26120.684039920219</v>
      </c>
    </row>
    <row r="139" spans="1:13" ht="14.25">
      <c r="A139" s="1257">
        <v>396202</v>
      </c>
      <c r="B139" s="1280" t="s">
        <v>998</v>
      </c>
      <c r="C139" s="1441">
        <f>'[15]State-Operated'!$AD$15</f>
        <v>260</v>
      </c>
      <c r="D139" s="1441">
        <f>'[17]Selected Sites'!$G$127</f>
        <v>253</v>
      </c>
      <c r="E139" s="1442">
        <f t="shared" si="53"/>
        <v>-7</v>
      </c>
      <c r="F139" s="1442">
        <f>IF(E139&gt;0,E139,0)</f>
        <v>0</v>
      </c>
      <c r="G139" s="1442">
        <f>IF(E139&lt;0,E139,0)</f>
        <v>-7</v>
      </c>
      <c r="H139" s="1443">
        <f>'Table 5B2_RSD_LA'!D15</f>
        <v>3266.8023094143459</v>
      </c>
      <c r="I139" s="1443">
        <f>'Table 5B2_RSD_LA'!F15</f>
        <v>766.62630000000001</v>
      </c>
      <c r="J139" s="1443">
        <f t="shared" si="54"/>
        <v>2016.7143047071729</v>
      </c>
      <c r="K139" s="1444">
        <f>E139*J139</f>
        <v>-14117.00013295021</v>
      </c>
      <c r="L139" s="1443">
        <f>IF(K139&gt;0,K139,0)</f>
        <v>0</v>
      </c>
      <c r="M139" s="1443">
        <f>IF(K139&lt;0,K139,0)</f>
        <v>-14117.00013295021</v>
      </c>
    </row>
    <row r="140" spans="1:13" ht="14.25">
      <c r="A140" s="1257">
        <v>396203</v>
      </c>
      <c r="B140" s="1445" t="s">
        <v>999</v>
      </c>
      <c r="C140" s="1441">
        <f>'[15]State-Operated'!$AD$35</f>
        <v>549</v>
      </c>
      <c r="D140" s="1441">
        <f>'[17]Selected Sites'!$G$147</f>
        <v>523</v>
      </c>
      <c r="E140" s="1442">
        <f t="shared" si="53"/>
        <v>-26</v>
      </c>
      <c r="F140" s="1442">
        <f t="shared" ref="F140" si="55">IF(E140&gt;0,E140,0)</f>
        <v>0</v>
      </c>
      <c r="G140" s="1442">
        <f t="shared" ref="G140" si="56">IF(E140&lt;0,E140,0)</f>
        <v>-26</v>
      </c>
      <c r="H140" s="1443">
        <f>'Table 5B1_RSD_Orleans'!D33</f>
        <v>3252.0270959716217</v>
      </c>
      <c r="I140" s="1443">
        <f>'Table 5B1_RSD_Orleans'!F33</f>
        <v>678.80657639489118</v>
      </c>
      <c r="J140" s="1443">
        <f t="shared" si="54"/>
        <v>1965.4168361832565</v>
      </c>
      <c r="K140" s="1444">
        <f t="shared" ref="K140" si="57">E140*J140</f>
        <v>-51100.837740764669</v>
      </c>
      <c r="L140" s="1443">
        <f t="shared" ref="L140" si="58">IF(K140&gt;0,K140,0)</f>
        <v>0</v>
      </c>
      <c r="M140" s="1443">
        <f t="shared" ref="M140" si="59">IF(K140&lt;0,K140,0)</f>
        <v>-51100.837740764669</v>
      </c>
    </row>
    <row r="141" spans="1:13" s="1204" customFormat="1" ht="15" customHeight="1" thickBot="1">
      <c r="A141" s="1200"/>
      <c r="B141" s="1201" t="s">
        <v>1000</v>
      </c>
      <c r="C141" s="1370">
        <f>SUM(C136:C140)</f>
        <v>6762</v>
      </c>
      <c r="D141" s="1370">
        <f>SUM(D136:D140)</f>
        <v>6869</v>
      </c>
      <c r="E141" s="1370">
        <f>SUM(E136:E140)</f>
        <v>107</v>
      </c>
      <c r="F141" s="1370">
        <f>SUM(F136:F140)</f>
        <v>151</v>
      </c>
      <c r="G141" s="1370">
        <f>SUM(G136:G140)</f>
        <v>-44</v>
      </c>
      <c r="H141" s="1371"/>
      <c r="I141" s="1371"/>
      <c r="J141" s="1371"/>
      <c r="K141" s="1371">
        <f>SUM(K136:K140)</f>
        <v>206672.47649557138</v>
      </c>
      <c r="L141" s="1371">
        <f>SUM(L136:L140)</f>
        <v>305705.5053330363</v>
      </c>
      <c r="M141" s="1371">
        <f>SUM(M136:M140)</f>
        <v>-99033.028837464954</v>
      </c>
    </row>
    <row r="142" spans="1:13" ht="6.75" customHeight="1" thickTop="1">
      <c r="A142" s="1282"/>
      <c r="B142" s="1283"/>
      <c r="C142" s="1446"/>
      <c r="D142" s="1446"/>
      <c r="E142" s="1447"/>
      <c r="F142" s="1447"/>
      <c r="G142" s="1447"/>
      <c r="H142" s="1448"/>
      <c r="I142" s="1448"/>
      <c r="J142" s="1448"/>
      <c r="K142" s="1448"/>
      <c r="L142" s="1448"/>
      <c r="M142" s="1448"/>
    </row>
    <row r="143" spans="1:13" s="1227" customFormat="1" ht="14.25" customHeight="1">
      <c r="A143" s="1185" t="s">
        <v>1001</v>
      </c>
      <c r="B143" s="1284" t="s">
        <v>1002</v>
      </c>
      <c r="C143" s="1351">
        <f>'[15]RSD-NO'!$AD14</f>
        <v>340</v>
      </c>
      <c r="D143" s="1351">
        <f>'[17]Selected Sites'!$G74</f>
        <v>340</v>
      </c>
      <c r="E143" s="1352">
        <f t="shared" ref="E143:E192" si="60">D143-C143</f>
        <v>0</v>
      </c>
      <c r="F143" s="1352">
        <f t="shared" ref="F143:F192" si="61">IF(E143&gt;0,E143,0)</f>
        <v>0</v>
      </c>
      <c r="G143" s="1352">
        <f t="shared" ref="G143:G192" si="62">IF(E143&lt;0,E143,0)</f>
        <v>0</v>
      </c>
      <c r="H143" s="1353">
        <f>'Table 5B1_RSD_Orleans'!D11</f>
        <v>3252.0270959716217</v>
      </c>
      <c r="I143" s="1353">
        <f>'Table 5B1_RSD_Orleans'!F11</f>
        <v>767.72184717013943</v>
      </c>
      <c r="J143" s="1353">
        <f t="shared" ref="J143:J192" si="63">(I143+H143)*0.5</f>
        <v>2009.8744715708806</v>
      </c>
      <c r="K143" s="1354">
        <f t="shared" ref="K143:K192" si="64">E143*J143</f>
        <v>0</v>
      </c>
      <c r="L143" s="1353">
        <f t="shared" ref="L143:L192" si="65">IF(K143&gt;0,K143,0)</f>
        <v>0</v>
      </c>
      <c r="M143" s="1353">
        <f t="shared" ref="M143:M192" si="66">IF(K143&lt;0,K143,0)</f>
        <v>0</v>
      </c>
    </row>
    <row r="144" spans="1:13" s="1227" customFormat="1" ht="14.25" customHeight="1">
      <c r="A144" s="1185" t="s">
        <v>1003</v>
      </c>
      <c r="B144" s="1285" t="s">
        <v>1004</v>
      </c>
      <c r="C144" s="1351">
        <f>'[15]RSD-NO'!$AD15</f>
        <v>445</v>
      </c>
      <c r="D144" s="1351">
        <f>'[17]Selected Sites'!$G75</f>
        <v>420</v>
      </c>
      <c r="E144" s="1352">
        <f t="shared" si="60"/>
        <v>-25</v>
      </c>
      <c r="F144" s="1352">
        <f t="shared" si="61"/>
        <v>0</v>
      </c>
      <c r="G144" s="1352">
        <f t="shared" si="62"/>
        <v>-25</v>
      </c>
      <c r="H144" s="1353">
        <f>'Table 5B1_RSD_Orleans'!D12</f>
        <v>3252.0270959716217</v>
      </c>
      <c r="I144" s="1353">
        <f>'Table 5B1_RSD_Orleans'!F12</f>
        <v>730.66950653120466</v>
      </c>
      <c r="J144" s="1353">
        <f t="shared" si="63"/>
        <v>1991.3483012514132</v>
      </c>
      <c r="K144" s="1354">
        <f t="shared" si="64"/>
        <v>-49783.707531285327</v>
      </c>
      <c r="L144" s="1353">
        <f t="shared" si="65"/>
        <v>0</v>
      </c>
      <c r="M144" s="1353">
        <f t="shared" si="66"/>
        <v>-49783.707531285327</v>
      </c>
    </row>
    <row r="145" spans="1:13" s="1227" customFormat="1" ht="14.25" customHeight="1">
      <c r="A145" s="1185" t="s">
        <v>1005</v>
      </c>
      <c r="B145" s="1285" t="s">
        <v>1006</v>
      </c>
      <c r="C145" s="1355">
        <f>'[15]RSD-NO'!$AD16</f>
        <v>603</v>
      </c>
      <c r="D145" s="1355">
        <f>'[17]Selected Sites'!$G76</f>
        <v>601</v>
      </c>
      <c r="E145" s="1352">
        <f t="shared" si="60"/>
        <v>-2</v>
      </c>
      <c r="F145" s="1352">
        <f t="shared" si="61"/>
        <v>0</v>
      </c>
      <c r="G145" s="1352">
        <f t="shared" si="62"/>
        <v>-2</v>
      </c>
      <c r="H145" s="1356">
        <f>'Table 5B1_RSD_Orleans'!D13</f>
        <v>3252.0270959716217</v>
      </c>
      <c r="I145" s="1356">
        <f>'Table 5B1_RSD_Orleans'!F13</f>
        <v>767.72184717013943</v>
      </c>
      <c r="J145" s="1356">
        <f t="shared" si="63"/>
        <v>2009.8744715708806</v>
      </c>
      <c r="K145" s="1354">
        <f t="shared" si="64"/>
        <v>-4019.7489431417612</v>
      </c>
      <c r="L145" s="1356">
        <f t="shared" si="65"/>
        <v>0</v>
      </c>
      <c r="M145" s="1356">
        <f t="shared" si="66"/>
        <v>-4019.7489431417612</v>
      </c>
    </row>
    <row r="146" spans="1:13" s="1227" customFormat="1" ht="14.25" customHeight="1">
      <c r="A146" s="1286" t="s">
        <v>1007</v>
      </c>
      <c r="B146" s="1285" t="s">
        <v>1008</v>
      </c>
      <c r="C146" s="1355">
        <f>'[15]RSD-NO'!$AD17</f>
        <v>415</v>
      </c>
      <c r="D146" s="1355">
        <f>'[17]Selected Sites'!$G77</f>
        <v>423</v>
      </c>
      <c r="E146" s="1352">
        <f t="shared" si="60"/>
        <v>8</v>
      </c>
      <c r="F146" s="1352">
        <f t="shared" si="61"/>
        <v>8</v>
      </c>
      <c r="G146" s="1352">
        <f t="shared" si="62"/>
        <v>0</v>
      </c>
      <c r="H146" s="1356">
        <f>'Table 5B1_RSD_Orleans'!D14</f>
        <v>3252.0270959716217</v>
      </c>
      <c r="I146" s="1356">
        <f>'Table 5B1_RSD_Orleans'!F14</f>
        <v>746.0335616438357</v>
      </c>
      <c r="J146" s="1356">
        <f t="shared" si="63"/>
        <v>1999.0303288077287</v>
      </c>
      <c r="K146" s="1354">
        <f t="shared" si="64"/>
        <v>15992.242630461829</v>
      </c>
      <c r="L146" s="1356">
        <f t="shared" si="65"/>
        <v>15992.242630461829</v>
      </c>
      <c r="M146" s="1356">
        <f t="shared" si="66"/>
        <v>0</v>
      </c>
    </row>
    <row r="147" spans="1:13" s="1227" customFormat="1" ht="14.25" customHeight="1">
      <c r="A147" s="1287" t="s">
        <v>1009</v>
      </c>
      <c r="B147" s="1288" t="s">
        <v>1010</v>
      </c>
      <c r="C147" s="1358">
        <f>'[15]RSD-NO'!$AD18</f>
        <v>520</v>
      </c>
      <c r="D147" s="1358">
        <f>'[17]Selected Sites'!$G78</f>
        <v>547</v>
      </c>
      <c r="E147" s="1359">
        <f t="shared" si="60"/>
        <v>27</v>
      </c>
      <c r="F147" s="1359">
        <f>IF(E147&gt;0,E147,0)</f>
        <v>27</v>
      </c>
      <c r="G147" s="1359">
        <f>IF(E147&lt;0,E147,0)</f>
        <v>0</v>
      </c>
      <c r="H147" s="1361">
        <f>'Table 5B1_RSD_Orleans'!D57</f>
        <v>3252.0270959716217</v>
      </c>
      <c r="I147" s="1361">
        <f>'Table 5B1_RSD_Orleans'!F57</f>
        <v>746.0335616438357</v>
      </c>
      <c r="J147" s="1361">
        <f t="shared" si="63"/>
        <v>1999.0303288077287</v>
      </c>
      <c r="K147" s="1362">
        <f>E147*J147</f>
        <v>53973.818877808677</v>
      </c>
      <c r="L147" s="1361">
        <f>IF(K147&gt;0,K147,0)</f>
        <v>53973.818877808677</v>
      </c>
      <c r="M147" s="1361">
        <f>IF(K147&lt;0,K147,0)</f>
        <v>0</v>
      </c>
    </row>
    <row r="148" spans="1:13" s="1227" customFormat="1" ht="14.25" customHeight="1">
      <c r="A148" s="1286" t="s">
        <v>1011</v>
      </c>
      <c r="B148" s="1285" t="s">
        <v>1012</v>
      </c>
      <c r="C148" s="1355">
        <f>'[15]RSD-NO'!$AD19</f>
        <v>464</v>
      </c>
      <c r="D148" s="1355">
        <f>'[17]Selected Sites'!$G79</f>
        <v>462</v>
      </c>
      <c r="E148" s="1352">
        <f t="shared" si="60"/>
        <v>-2</v>
      </c>
      <c r="F148" s="1352">
        <f>IF(E148&gt;0,E148,0)</f>
        <v>0</v>
      </c>
      <c r="G148" s="1352">
        <f>IF(E148&lt;0,E148,0)</f>
        <v>-2</v>
      </c>
      <c r="H148" s="1356">
        <f>'Table 5B1_RSD_Orleans'!D58</f>
        <v>3252.0270959716217</v>
      </c>
      <c r="I148" s="1356">
        <f>'Table 5B1_RSD_Orleans'!F58</f>
        <v>746.0335616438357</v>
      </c>
      <c r="J148" s="1356">
        <f t="shared" si="63"/>
        <v>1999.0303288077287</v>
      </c>
      <c r="K148" s="1354">
        <f>E148*J148</f>
        <v>-3998.0606576154573</v>
      </c>
      <c r="L148" s="1356">
        <f>IF(K148&gt;0,K148,0)</f>
        <v>0</v>
      </c>
      <c r="M148" s="1356">
        <f>IF(K148&lt;0,K148,0)</f>
        <v>-3998.0606576154573</v>
      </c>
    </row>
    <row r="149" spans="1:13" s="1227" customFormat="1" ht="14.25" customHeight="1">
      <c r="A149" s="1286" t="s">
        <v>1013</v>
      </c>
      <c r="B149" s="1285" t="s">
        <v>1014</v>
      </c>
      <c r="C149" s="1355">
        <f>'[15]RSD-NO'!$AD20</f>
        <v>115</v>
      </c>
      <c r="D149" s="1355">
        <f>'[17]Selected Sites'!$G80</f>
        <v>103</v>
      </c>
      <c r="E149" s="1352">
        <f t="shared" si="60"/>
        <v>-12</v>
      </c>
      <c r="F149" s="1352">
        <f t="shared" si="61"/>
        <v>0</v>
      </c>
      <c r="G149" s="1352">
        <f t="shared" si="62"/>
        <v>-12</v>
      </c>
      <c r="H149" s="1356">
        <f>'Table 5B1_RSD_Orleans'!D15</f>
        <v>3252.0270959716217</v>
      </c>
      <c r="I149" s="1356">
        <f>'Table 5B1_RSD_Orleans'!F15</f>
        <v>746.0335616438357</v>
      </c>
      <c r="J149" s="1356">
        <f t="shared" si="63"/>
        <v>1999.0303288077287</v>
      </c>
      <c r="K149" s="1354">
        <f t="shared" si="64"/>
        <v>-23988.363945692745</v>
      </c>
      <c r="L149" s="1356">
        <f t="shared" si="65"/>
        <v>0</v>
      </c>
      <c r="M149" s="1356">
        <f t="shared" si="66"/>
        <v>-23988.363945692745</v>
      </c>
    </row>
    <row r="150" spans="1:13" s="1227" customFormat="1" ht="14.25" customHeight="1">
      <c r="A150" s="1286" t="s">
        <v>1015</v>
      </c>
      <c r="B150" s="1285" t="s">
        <v>1016</v>
      </c>
      <c r="C150" s="1351">
        <f>'[15]RSD-NO'!$AD21</f>
        <v>366</v>
      </c>
      <c r="D150" s="1351">
        <f>'[17]Selected Sites'!$G81</f>
        <v>364</v>
      </c>
      <c r="E150" s="1352">
        <f t="shared" si="60"/>
        <v>-2</v>
      </c>
      <c r="F150" s="1352">
        <f t="shared" si="61"/>
        <v>0</v>
      </c>
      <c r="G150" s="1352">
        <f t="shared" si="62"/>
        <v>-2</v>
      </c>
      <c r="H150" s="1353">
        <f>'Table 5B1_RSD_Orleans'!D16</f>
        <v>3252.0270959716217</v>
      </c>
      <c r="I150" s="1353">
        <f>'Table 5B1_RSD_Orleans'!F16</f>
        <v>746.0335616438357</v>
      </c>
      <c r="J150" s="1353">
        <f t="shared" si="63"/>
        <v>1999.0303288077287</v>
      </c>
      <c r="K150" s="1354">
        <f t="shared" si="64"/>
        <v>-3998.0606576154573</v>
      </c>
      <c r="L150" s="1353">
        <f t="shared" si="65"/>
        <v>0</v>
      </c>
      <c r="M150" s="1353">
        <f t="shared" si="66"/>
        <v>-3998.0606576154573</v>
      </c>
    </row>
    <row r="151" spans="1:13" s="1227" customFormat="1" ht="14.25" customHeight="1">
      <c r="A151" s="1286" t="s">
        <v>1017</v>
      </c>
      <c r="B151" s="1285" t="s">
        <v>1018</v>
      </c>
      <c r="C151" s="1351">
        <f>'[15]RSD-NO'!$AD22</f>
        <v>201</v>
      </c>
      <c r="D151" s="1351">
        <f>'[17]Selected Sites'!$G82</f>
        <v>200</v>
      </c>
      <c r="E151" s="1352">
        <f t="shared" si="60"/>
        <v>-1</v>
      </c>
      <c r="F151" s="1352">
        <f t="shared" si="61"/>
        <v>0</v>
      </c>
      <c r="G151" s="1352">
        <f t="shared" si="62"/>
        <v>-1</v>
      </c>
      <c r="H151" s="1353">
        <f>'Table 5B1_RSD_Orleans'!D17</f>
        <v>3252.0270959716217</v>
      </c>
      <c r="I151" s="1353">
        <f>'Table 5B1_RSD_Orleans'!F17</f>
        <v>746.0335616438357</v>
      </c>
      <c r="J151" s="1353">
        <f t="shared" si="63"/>
        <v>1999.0303288077287</v>
      </c>
      <c r="K151" s="1354">
        <f t="shared" si="64"/>
        <v>-1999.0303288077287</v>
      </c>
      <c r="L151" s="1353">
        <f t="shared" si="65"/>
        <v>0</v>
      </c>
      <c r="M151" s="1353">
        <f t="shared" si="66"/>
        <v>-1999.0303288077287</v>
      </c>
    </row>
    <row r="152" spans="1:13" s="1227" customFormat="1" ht="14.25" customHeight="1">
      <c r="A152" s="1287" t="s">
        <v>1019</v>
      </c>
      <c r="B152" s="1288" t="s">
        <v>1020</v>
      </c>
      <c r="C152" s="1358">
        <f>'[15]RSD-NO'!$AD23</f>
        <v>568</v>
      </c>
      <c r="D152" s="1358">
        <f>'[17]Selected Sites'!$G83</f>
        <v>581</v>
      </c>
      <c r="E152" s="1359">
        <f t="shared" si="60"/>
        <v>13</v>
      </c>
      <c r="F152" s="1359">
        <f t="shared" si="61"/>
        <v>13</v>
      </c>
      <c r="G152" s="1359">
        <f t="shared" si="62"/>
        <v>0</v>
      </c>
      <c r="H152" s="1361">
        <f>'Table 5B1_RSD_Orleans'!D18</f>
        <v>3252.0270959716217</v>
      </c>
      <c r="I152" s="1361">
        <f>'Table 5B1_RSD_Orleans'!F18</f>
        <v>746.0335616438357</v>
      </c>
      <c r="J152" s="1361">
        <f t="shared" si="63"/>
        <v>1999.0303288077287</v>
      </c>
      <c r="K152" s="1362">
        <f t="shared" si="64"/>
        <v>25987.394274500472</v>
      </c>
      <c r="L152" s="1361">
        <f t="shared" si="65"/>
        <v>25987.394274500472</v>
      </c>
      <c r="M152" s="1361">
        <f t="shared" si="66"/>
        <v>0</v>
      </c>
    </row>
    <row r="153" spans="1:13" s="1227" customFormat="1" ht="14.25" customHeight="1">
      <c r="A153" s="1286" t="s">
        <v>1021</v>
      </c>
      <c r="B153" s="1285" t="s">
        <v>1022</v>
      </c>
      <c r="C153" s="1355">
        <f>'[15]RSD-NO'!$AD24</f>
        <v>581</v>
      </c>
      <c r="D153" s="1355">
        <f>'[17]Selected Sites'!$G84</f>
        <v>608</v>
      </c>
      <c r="E153" s="1352">
        <f t="shared" si="60"/>
        <v>27</v>
      </c>
      <c r="F153" s="1352">
        <f t="shared" si="61"/>
        <v>27</v>
      </c>
      <c r="G153" s="1352">
        <f t="shared" si="62"/>
        <v>0</v>
      </c>
      <c r="H153" s="1356">
        <f>'Table 5B1_RSD_Orleans'!D19</f>
        <v>3252.0270959716217</v>
      </c>
      <c r="I153" s="1356">
        <f>'Table 5B1_RSD_Orleans'!F19</f>
        <v>746.0335616438357</v>
      </c>
      <c r="J153" s="1356">
        <f t="shared" si="63"/>
        <v>1999.0303288077287</v>
      </c>
      <c r="K153" s="1354">
        <f t="shared" si="64"/>
        <v>53973.818877808677</v>
      </c>
      <c r="L153" s="1356">
        <f t="shared" si="65"/>
        <v>53973.818877808677</v>
      </c>
      <c r="M153" s="1356">
        <f t="shared" si="66"/>
        <v>0</v>
      </c>
    </row>
    <row r="154" spans="1:13" s="1227" customFormat="1" ht="14.25" customHeight="1">
      <c r="A154" s="1286" t="s">
        <v>1023</v>
      </c>
      <c r="B154" s="1285" t="s">
        <v>1024</v>
      </c>
      <c r="C154" s="1355">
        <f>'[15]RSD-NO'!$AD25</f>
        <v>590</v>
      </c>
      <c r="D154" s="1355">
        <f>'[17]Selected Sites'!$G85</f>
        <v>581</v>
      </c>
      <c r="E154" s="1352">
        <f t="shared" si="60"/>
        <v>-9</v>
      </c>
      <c r="F154" s="1352">
        <f>IF(E154&gt;0,E154,0)</f>
        <v>0</v>
      </c>
      <c r="G154" s="1352">
        <f>IF(E154&lt;0,E154,0)</f>
        <v>-9</v>
      </c>
      <c r="H154" s="1356">
        <f>'Table 5B1_RSD_Orleans'!D61</f>
        <v>3252.0270959716217</v>
      </c>
      <c r="I154" s="1356">
        <f>'Table 5B1_RSD_Orleans'!F61</f>
        <v>746.0335616438357</v>
      </c>
      <c r="J154" s="1356">
        <f t="shared" si="63"/>
        <v>1999.0303288077287</v>
      </c>
      <c r="K154" s="1354">
        <f>E154*J154</f>
        <v>-17991.272959269558</v>
      </c>
      <c r="L154" s="1353">
        <f>IF(K154&gt;0,K154,0)</f>
        <v>0</v>
      </c>
      <c r="M154" s="1353">
        <f>IF(K154&lt;0,K154,0)</f>
        <v>-17991.272959269558</v>
      </c>
    </row>
    <row r="155" spans="1:13" s="1227" customFormat="1" ht="14.25" customHeight="1">
      <c r="A155" s="1286" t="s">
        <v>1025</v>
      </c>
      <c r="B155" s="1285" t="s">
        <v>1026</v>
      </c>
      <c r="C155" s="1355">
        <f>'[15]RSD-NO'!$AD26</f>
        <v>155</v>
      </c>
      <c r="D155" s="1355">
        <f>'[17]Selected Sites'!$G86</f>
        <v>157</v>
      </c>
      <c r="E155" s="1352">
        <f t="shared" si="60"/>
        <v>2</v>
      </c>
      <c r="F155" s="1352">
        <f>IF(E155&gt;0,E155,0)</f>
        <v>2</v>
      </c>
      <c r="G155" s="1352">
        <f>IF(E155&lt;0,E155,0)</f>
        <v>0</v>
      </c>
      <c r="H155" s="1356">
        <f>'Table 5B1_RSD_Orleans'!D59</f>
        <v>3252.0270959716217</v>
      </c>
      <c r="I155" s="1356">
        <f>'Table 5B1_RSD_Orleans'!F59</f>
        <v>746.0335616438357</v>
      </c>
      <c r="J155" s="1356">
        <f t="shared" si="63"/>
        <v>1999.0303288077287</v>
      </c>
      <c r="K155" s="1354">
        <f>E155*J155</f>
        <v>3998.0606576154573</v>
      </c>
      <c r="L155" s="1353">
        <f>IF(K155&gt;0,K155,0)</f>
        <v>3998.0606576154573</v>
      </c>
      <c r="M155" s="1353">
        <f>IF(K155&lt;0,K155,0)</f>
        <v>0</v>
      </c>
    </row>
    <row r="156" spans="1:13" s="1227" customFormat="1" ht="14.25" customHeight="1">
      <c r="A156" s="1286" t="s">
        <v>1027</v>
      </c>
      <c r="B156" s="1285" t="s">
        <v>1028</v>
      </c>
      <c r="C156" s="1355">
        <f>'[15]RSD-NO'!$AD27</f>
        <v>137</v>
      </c>
      <c r="D156" s="1355">
        <f>'[17]Selected Sites'!$G87</f>
        <v>139</v>
      </c>
      <c r="E156" s="1352">
        <f t="shared" si="60"/>
        <v>2</v>
      </c>
      <c r="F156" s="1352">
        <f>IF(E156&gt;0,E156,0)</f>
        <v>2</v>
      </c>
      <c r="G156" s="1352">
        <f>IF(E156&lt;0,E156,0)</f>
        <v>0</v>
      </c>
      <c r="H156" s="1356">
        <f>'Table 5B1_RSD_Orleans'!D60</f>
        <v>3252.0270959716217</v>
      </c>
      <c r="I156" s="1356">
        <f>'Table 5B1_RSD_Orleans'!F60</f>
        <v>746.0335616438357</v>
      </c>
      <c r="J156" s="1356">
        <f t="shared" si="63"/>
        <v>1999.0303288077287</v>
      </c>
      <c r="K156" s="1354">
        <f>E156*J156</f>
        <v>3998.0606576154573</v>
      </c>
      <c r="L156" s="1353">
        <f>IF(K156&gt;0,K156,0)</f>
        <v>3998.0606576154573</v>
      </c>
      <c r="M156" s="1353">
        <f>IF(K156&lt;0,K156,0)</f>
        <v>0</v>
      </c>
    </row>
    <row r="157" spans="1:13" s="1227" customFormat="1" ht="14.25" customHeight="1">
      <c r="A157" s="1287" t="s">
        <v>1029</v>
      </c>
      <c r="B157" s="1288" t="s">
        <v>1030</v>
      </c>
      <c r="C157" s="1358">
        <f>'[15]RSD-NO'!$AD28</f>
        <v>311</v>
      </c>
      <c r="D157" s="1358">
        <f>'[17]Selected Sites'!$G88</f>
        <v>310</v>
      </c>
      <c r="E157" s="1359">
        <f t="shared" si="60"/>
        <v>-1</v>
      </c>
      <c r="F157" s="1359">
        <f t="shared" si="61"/>
        <v>0</v>
      </c>
      <c r="G157" s="1359">
        <f t="shared" si="62"/>
        <v>-1</v>
      </c>
      <c r="H157" s="1361">
        <f>'Table 5B1_RSD_Orleans'!D20</f>
        <v>3252.0270959716217</v>
      </c>
      <c r="I157" s="1361">
        <f>'Table 5B1_RSD_Orleans'!F20</f>
        <v>746.0335616438357</v>
      </c>
      <c r="J157" s="1361">
        <f t="shared" si="63"/>
        <v>1999.0303288077287</v>
      </c>
      <c r="K157" s="1362">
        <f t="shared" si="64"/>
        <v>-1999.0303288077287</v>
      </c>
      <c r="L157" s="1361">
        <f t="shared" si="65"/>
        <v>0</v>
      </c>
      <c r="M157" s="1361">
        <f t="shared" si="66"/>
        <v>-1999.0303288077287</v>
      </c>
    </row>
    <row r="158" spans="1:13" s="1227" customFormat="1" ht="14.25" customHeight="1">
      <c r="A158" s="1286" t="s">
        <v>1031</v>
      </c>
      <c r="B158" s="1285" t="s">
        <v>1032</v>
      </c>
      <c r="C158" s="1351">
        <f>'[15]RSD-NO'!$AD29</f>
        <v>380</v>
      </c>
      <c r="D158" s="1351">
        <f>'[17]Selected Sites'!$G89</f>
        <v>383</v>
      </c>
      <c r="E158" s="1352">
        <f t="shared" si="60"/>
        <v>3</v>
      </c>
      <c r="F158" s="1352">
        <f t="shared" si="61"/>
        <v>3</v>
      </c>
      <c r="G158" s="1352">
        <f t="shared" si="62"/>
        <v>0</v>
      </c>
      <c r="H158" s="1353">
        <f>'Table 5B1_RSD_Orleans'!D21</f>
        <v>3252.0270959716217</v>
      </c>
      <c r="I158" s="1353">
        <f>'Table 5B1_RSD_Orleans'!F21</f>
        <v>746.0335616438357</v>
      </c>
      <c r="J158" s="1353">
        <f t="shared" si="63"/>
        <v>1999.0303288077287</v>
      </c>
      <c r="K158" s="1354">
        <f t="shared" si="64"/>
        <v>5997.0909864231862</v>
      </c>
      <c r="L158" s="1353">
        <f t="shared" si="65"/>
        <v>5997.0909864231862</v>
      </c>
      <c r="M158" s="1353">
        <f t="shared" si="66"/>
        <v>0</v>
      </c>
    </row>
    <row r="159" spans="1:13" ht="14.25" customHeight="1">
      <c r="A159" s="1286" t="s">
        <v>1033</v>
      </c>
      <c r="B159" s="1285" t="s">
        <v>1034</v>
      </c>
      <c r="C159" s="1351">
        <f>'[15]RSD-NO'!$AD30</f>
        <v>313</v>
      </c>
      <c r="D159" s="1351">
        <f>'[17]Selected Sites'!$G90</f>
        <v>304</v>
      </c>
      <c r="E159" s="1352">
        <f t="shared" si="60"/>
        <v>-9</v>
      </c>
      <c r="F159" s="1352">
        <f t="shared" si="61"/>
        <v>0</v>
      </c>
      <c r="G159" s="1352">
        <f t="shared" si="62"/>
        <v>-9</v>
      </c>
      <c r="H159" s="1353">
        <f>'Table 5B1_RSD_Orleans'!D22</f>
        <v>3252.0270959716217</v>
      </c>
      <c r="I159" s="1353">
        <f>'Table 5B1_RSD_Orleans'!F22</f>
        <v>746.0335616438357</v>
      </c>
      <c r="J159" s="1353">
        <f t="shared" si="63"/>
        <v>1999.0303288077287</v>
      </c>
      <c r="K159" s="1354">
        <f t="shared" si="64"/>
        <v>-17991.272959269558</v>
      </c>
      <c r="L159" s="1353">
        <f t="shared" si="65"/>
        <v>0</v>
      </c>
      <c r="M159" s="1353">
        <f t="shared" si="66"/>
        <v>-17991.272959269558</v>
      </c>
    </row>
    <row r="160" spans="1:13" ht="14.25" customHeight="1">
      <c r="A160" s="1286" t="s">
        <v>1035</v>
      </c>
      <c r="B160" s="1285" t="s">
        <v>1036</v>
      </c>
      <c r="C160" s="1355">
        <f>'[15]RSD-NO'!$AD31</f>
        <v>248</v>
      </c>
      <c r="D160" s="1355">
        <f>'[17]Selected Sites'!$G91</f>
        <v>253</v>
      </c>
      <c r="E160" s="1352">
        <f t="shared" si="60"/>
        <v>5</v>
      </c>
      <c r="F160" s="1352">
        <f t="shared" si="61"/>
        <v>5</v>
      </c>
      <c r="G160" s="1352">
        <f t="shared" si="62"/>
        <v>0</v>
      </c>
      <c r="H160" s="1356">
        <f>'Table 5B1_RSD_Orleans'!D23</f>
        <v>3252.0270959716217</v>
      </c>
      <c r="I160" s="1356">
        <f>'Table 5B1_RSD_Orleans'!F23</f>
        <v>746.0335616438357</v>
      </c>
      <c r="J160" s="1356">
        <f t="shared" si="63"/>
        <v>1999.0303288077287</v>
      </c>
      <c r="K160" s="1354">
        <f t="shared" si="64"/>
        <v>9995.151644038644</v>
      </c>
      <c r="L160" s="1356">
        <f t="shared" si="65"/>
        <v>9995.151644038644</v>
      </c>
      <c r="M160" s="1356">
        <f t="shared" si="66"/>
        <v>0</v>
      </c>
    </row>
    <row r="161" spans="1:13" ht="14.25" customHeight="1">
      <c r="A161" s="1286" t="s">
        <v>1037</v>
      </c>
      <c r="B161" s="1285" t="s">
        <v>1038</v>
      </c>
      <c r="C161" s="1355">
        <f>'[15]RSD-NO'!$AD32</f>
        <v>206</v>
      </c>
      <c r="D161" s="1355">
        <f>'[17]Selected Sites'!$G92</f>
        <v>210</v>
      </c>
      <c r="E161" s="1352">
        <f t="shared" si="60"/>
        <v>4</v>
      </c>
      <c r="F161" s="1352">
        <f t="shared" si="61"/>
        <v>4</v>
      </c>
      <c r="G161" s="1352">
        <f t="shared" si="62"/>
        <v>0</v>
      </c>
      <c r="H161" s="1356">
        <f>'Table 5B1_RSD_Orleans'!D24</f>
        <v>3252.0270959716217</v>
      </c>
      <c r="I161" s="1356">
        <f>'Table 5B1_RSD_Orleans'!F24</f>
        <v>926.66296296296309</v>
      </c>
      <c r="J161" s="1356">
        <f t="shared" si="63"/>
        <v>2089.3450294672925</v>
      </c>
      <c r="K161" s="1354">
        <f t="shared" si="64"/>
        <v>8357.3801178691701</v>
      </c>
      <c r="L161" s="1356">
        <f t="shared" si="65"/>
        <v>8357.3801178691701</v>
      </c>
      <c r="M161" s="1356">
        <f t="shared" si="66"/>
        <v>0</v>
      </c>
    </row>
    <row r="162" spans="1:13" ht="14.25" customHeight="1">
      <c r="A162" s="1287" t="s">
        <v>1039</v>
      </c>
      <c r="B162" s="1288" t="s">
        <v>1040</v>
      </c>
      <c r="C162" s="1358">
        <f>'[15]RSD-NO'!$AD33</f>
        <v>419</v>
      </c>
      <c r="D162" s="1358">
        <f>'[17]Selected Sites'!$G93</f>
        <v>419</v>
      </c>
      <c r="E162" s="1359">
        <f t="shared" si="60"/>
        <v>0</v>
      </c>
      <c r="F162" s="1359">
        <f t="shared" si="61"/>
        <v>0</v>
      </c>
      <c r="G162" s="1359">
        <f t="shared" si="62"/>
        <v>0</v>
      </c>
      <c r="H162" s="1361">
        <f>'Table 5B1_RSD_Orleans'!D25</f>
        <v>3252.0270959716217</v>
      </c>
      <c r="I162" s="1361">
        <f>'Table 5B1_RSD_Orleans'!F25</f>
        <v>744.77798165137619</v>
      </c>
      <c r="J162" s="1361">
        <f t="shared" si="63"/>
        <v>1998.402538811499</v>
      </c>
      <c r="K162" s="1362">
        <f t="shared" si="64"/>
        <v>0</v>
      </c>
      <c r="L162" s="1361">
        <f t="shared" si="65"/>
        <v>0</v>
      </c>
      <c r="M162" s="1361">
        <f t="shared" si="66"/>
        <v>0</v>
      </c>
    </row>
    <row r="163" spans="1:13" ht="14.25" customHeight="1">
      <c r="A163" s="1286" t="s">
        <v>1041</v>
      </c>
      <c r="B163" s="1285" t="s">
        <v>1042</v>
      </c>
      <c r="C163" s="1351">
        <f>'[15]RSD-NO'!$AD34</f>
        <v>307</v>
      </c>
      <c r="D163" s="1351">
        <f>'[17]Selected Sites'!$G94</f>
        <v>308</v>
      </c>
      <c r="E163" s="1352">
        <f t="shared" si="60"/>
        <v>1</v>
      </c>
      <c r="F163" s="1352">
        <f t="shared" si="61"/>
        <v>1</v>
      </c>
      <c r="G163" s="1352">
        <f t="shared" si="62"/>
        <v>0</v>
      </c>
      <c r="H163" s="1353">
        <f>'Table 5B1_RSD_Orleans'!D26</f>
        <v>3252.0270959716217</v>
      </c>
      <c r="I163" s="1353">
        <f>'Table 5B1_RSD_Orleans'!F26</f>
        <v>743.65689655172423</v>
      </c>
      <c r="J163" s="1353">
        <f t="shared" si="63"/>
        <v>1997.8419962616731</v>
      </c>
      <c r="K163" s="1354">
        <f t="shared" si="64"/>
        <v>1997.8419962616731</v>
      </c>
      <c r="L163" s="1353">
        <f t="shared" si="65"/>
        <v>1997.8419962616731</v>
      </c>
      <c r="M163" s="1353">
        <f t="shared" si="66"/>
        <v>0</v>
      </c>
    </row>
    <row r="164" spans="1:13" ht="14.25" customHeight="1">
      <c r="A164" s="1286" t="s">
        <v>1043</v>
      </c>
      <c r="B164" s="1285" t="s">
        <v>1044</v>
      </c>
      <c r="C164" s="1351">
        <f>'[15]RSD-NO'!$AD35</f>
        <v>334</v>
      </c>
      <c r="D164" s="1351">
        <f>'[17]Selected Sites'!$G95</f>
        <v>336</v>
      </c>
      <c r="E164" s="1352">
        <f t="shared" si="60"/>
        <v>2</v>
      </c>
      <c r="F164" s="1352">
        <f t="shared" si="61"/>
        <v>2</v>
      </c>
      <c r="G164" s="1352">
        <f t="shared" si="62"/>
        <v>0</v>
      </c>
      <c r="H164" s="1353">
        <f>'Table 5B1_RSD_Orleans'!D27</f>
        <v>3252.0270959716217</v>
      </c>
      <c r="I164" s="1353">
        <f>'Table 5B1_RSD_Orleans'!F27</f>
        <v>783.54939759036142</v>
      </c>
      <c r="J164" s="1353">
        <f t="shared" si="63"/>
        <v>2017.7882467809916</v>
      </c>
      <c r="K164" s="1354">
        <f t="shared" si="64"/>
        <v>4035.5764935619832</v>
      </c>
      <c r="L164" s="1353">
        <f t="shared" si="65"/>
        <v>4035.5764935619832</v>
      </c>
      <c r="M164" s="1353">
        <f t="shared" si="66"/>
        <v>0</v>
      </c>
    </row>
    <row r="165" spans="1:13" ht="14.25" customHeight="1">
      <c r="A165" s="1286" t="s">
        <v>1045</v>
      </c>
      <c r="B165" s="1285" t="s">
        <v>1046</v>
      </c>
      <c r="C165" s="1355">
        <f>'[15]RSD-NO'!$AD36</f>
        <v>251</v>
      </c>
      <c r="D165" s="1355">
        <f>'[17]Selected Sites'!$G96</f>
        <v>239</v>
      </c>
      <c r="E165" s="1352">
        <f t="shared" si="60"/>
        <v>-12</v>
      </c>
      <c r="F165" s="1352">
        <f t="shared" si="61"/>
        <v>0</v>
      </c>
      <c r="G165" s="1352">
        <f t="shared" si="62"/>
        <v>-12</v>
      </c>
      <c r="H165" s="1356">
        <f>'Table 5B1_RSD_Orleans'!D28</f>
        <v>3252.0270959716217</v>
      </c>
      <c r="I165" s="1356">
        <f>'Table 5B1_RSD_Orleans'!F28</f>
        <v>762.07037037037037</v>
      </c>
      <c r="J165" s="1356">
        <f t="shared" si="63"/>
        <v>2007.048733170996</v>
      </c>
      <c r="K165" s="1354">
        <f t="shared" si="64"/>
        <v>-24084.584798051954</v>
      </c>
      <c r="L165" s="1356">
        <f t="shared" si="65"/>
        <v>0</v>
      </c>
      <c r="M165" s="1356">
        <f t="shared" si="66"/>
        <v>-24084.584798051954</v>
      </c>
    </row>
    <row r="166" spans="1:13" ht="14.25" customHeight="1">
      <c r="A166" s="1286" t="s">
        <v>1047</v>
      </c>
      <c r="B166" s="1285" t="s">
        <v>1048</v>
      </c>
      <c r="C166" s="1355">
        <f>'[15]RSD-NO'!$AD37</f>
        <v>562</v>
      </c>
      <c r="D166" s="1355">
        <f>'[17]Selected Sites'!$G97</f>
        <v>526</v>
      </c>
      <c r="E166" s="1352">
        <f t="shared" si="60"/>
        <v>-36</v>
      </c>
      <c r="F166" s="1352">
        <f t="shared" si="61"/>
        <v>0</v>
      </c>
      <c r="G166" s="1352">
        <f t="shared" si="62"/>
        <v>-36</v>
      </c>
      <c r="H166" s="1356">
        <f>'Table 5B1_RSD_Orleans'!D29</f>
        <v>3252.0270959716217</v>
      </c>
      <c r="I166" s="1356">
        <f>'Table 5B1_RSD_Orleans'!F29</f>
        <v>735.82244897959185</v>
      </c>
      <c r="J166" s="1356">
        <f t="shared" si="63"/>
        <v>1993.9247724756069</v>
      </c>
      <c r="K166" s="1354">
        <f t="shared" si="64"/>
        <v>-71781.291809121845</v>
      </c>
      <c r="L166" s="1356">
        <f t="shared" si="65"/>
        <v>0</v>
      </c>
      <c r="M166" s="1356">
        <f t="shared" si="66"/>
        <v>-71781.291809121845</v>
      </c>
    </row>
    <row r="167" spans="1:13" ht="14.25" customHeight="1">
      <c r="A167" s="1287" t="s">
        <v>1049</v>
      </c>
      <c r="B167" s="1288" t="s">
        <v>1050</v>
      </c>
      <c r="C167" s="1358">
        <f>'[15]RSD-NO'!$AD38</f>
        <v>817</v>
      </c>
      <c r="D167" s="1358">
        <f>'[17]Selected Sites'!$G98</f>
        <v>770</v>
      </c>
      <c r="E167" s="1359">
        <f t="shared" si="60"/>
        <v>-47</v>
      </c>
      <c r="F167" s="1359">
        <f t="shared" si="61"/>
        <v>0</v>
      </c>
      <c r="G167" s="1359">
        <f t="shared" si="62"/>
        <v>-47</v>
      </c>
      <c r="H167" s="1361">
        <f>'Table 5B1_RSD_Orleans'!D30</f>
        <v>3252.0270959716217</v>
      </c>
      <c r="I167" s="1361">
        <f>'Table 5B1_RSD_Orleans'!F30</f>
        <v>618.75651162790689</v>
      </c>
      <c r="J167" s="1361">
        <f t="shared" si="63"/>
        <v>1935.3918037997644</v>
      </c>
      <c r="K167" s="1362">
        <f t="shared" si="64"/>
        <v>-90963.414778588922</v>
      </c>
      <c r="L167" s="1361">
        <f t="shared" si="65"/>
        <v>0</v>
      </c>
      <c r="M167" s="1361">
        <f t="shared" si="66"/>
        <v>-90963.414778588922</v>
      </c>
    </row>
    <row r="168" spans="1:13" ht="14.25" customHeight="1">
      <c r="A168" s="1286" t="s">
        <v>1051</v>
      </c>
      <c r="B168" s="1285" t="s">
        <v>1052</v>
      </c>
      <c r="C168" s="1351">
        <f>'[15]RSD-NO'!$AD39</f>
        <v>617</v>
      </c>
      <c r="D168" s="1351">
        <f>'[17]Selected Sites'!$G99</f>
        <v>614</v>
      </c>
      <c r="E168" s="1352">
        <f t="shared" si="60"/>
        <v>-3</v>
      </c>
      <c r="F168" s="1352">
        <f t="shared" si="61"/>
        <v>0</v>
      </c>
      <c r="G168" s="1352">
        <f t="shared" si="62"/>
        <v>-3</v>
      </c>
      <c r="H168" s="1353">
        <f>'Table 5B1_RSD_Orleans'!D31</f>
        <v>3252.0270959716217</v>
      </c>
      <c r="I168" s="1353">
        <f>'Table 5B1_RSD_Orleans'!F31</f>
        <v>679.69448058280273</v>
      </c>
      <c r="J168" s="1353">
        <f t="shared" si="63"/>
        <v>1965.8607882772121</v>
      </c>
      <c r="K168" s="1354">
        <f t="shared" si="64"/>
        <v>-5897.5823648316364</v>
      </c>
      <c r="L168" s="1353">
        <f t="shared" si="65"/>
        <v>0</v>
      </c>
      <c r="M168" s="1353">
        <f t="shared" si="66"/>
        <v>-5897.5823648316364</v>
      </c>
    </row>
    <row r="169" spans="1:13" ht="14.25" customHeight="1">
      <c r="A169" s="1286" t="s">
        <v>1053</v>
      </c>
      <c r="B169" s="1285" t="s">
        <v>1054</v>
      </c>
      <c r="C169" s="1351">
        <f>'[15]RSD-NO'!$AD40</f>
        <v>556</v>
      </c>
      <c r="D169" s="1351">
        <f>'[17]Selected Sites'!$G100</f>
        <v>548</v>
      </c>
      <c r="E169" s="1352">
        <f t="shared" si="60"/>
        <v>-8</v>
      </c>
      <c r="F169" s="1352">
        <f t="shared" si="61"/>
        <v>0</v>
      </c>
      <c r="G169" s="1352">
        <f t="shared" si="62"/>
        <v>-8</v>
      </c>
      <c r="H169" s="1353">
        <f>'Table 5B1_RSD_Orleans'!D32</f>
        <v>3252.0270959716217</v>
      </c>
      <c r="I169" s="1353">
        <f>'Table 5B1_RSD_Orleans'!F32</f>
        <v>708.2132751810401</v>
      </c>
      <c r="J169" s="1353">
        <f t="shared" si="63"/>
        <v>1980.1201855763309</v>
      </c>
      <c r="K169" s="1354">
        <f t="shared" si="64"/>
        <v>-15840.961484610647</v>
      </c>
      <c r="L169" s="1353">
        <f t="shared" si="65"/>
        <v>0</v>
      </c>
      <c r="M169" s="1353">
        <f t="shared" si="66"/>
        <v>-15840.961484610647</v>
      </c>
    </row>
    <row r="170" spans="1:13" ht="14.25" customHeight="1">
      <c r="A170" s="1286" t="s">
        <v>1055</v>
      </c>
      <c r="B170" s="1285" t="s">
        <v>1056</v>
      </c>
      <c r="C170" s="1355">
        <f>'[15]RSD-NO'!$AD41</f>
        <v>674</v>
      </c>
      <c r="D170" s="1355">
        <f>'[17]Selected Sites'!$G101</f>
        <v>667</v>
      </c>
      <c r="E170" s="1352">
        <f t="shared" si="60"/>
        <v>-7</v>
      </c>
      <c r="F170" s="1352">
        <f t="shared" si="61"/>
        <v>0</v>
      </c>
      <c r="G170" s="1352">
        <f t="shared" si="62"/>
        <v>-7</v>
      </c>
      <c r="H170" s="1356">
        <f>'Table 5B1_RSD_Orleans'!D34</f>
        <v>3252.0270959716217</v>
      </c>
      <c r="I170" s="1356">
        <f>'Table 5B1_RSD_Orleans'!F34</f>
        <v>650.55234865477053</v>
      </c>
      <c r="J170" s="1356">
        <f t="shared" si="63"/>
        <v>1951.2897223131961</v>
      </c>
      <c r="K170" s="1354">
        <f t="shared" si="64"/>
        <v>-13659.028056192372</v>
      </c>
      <c r="L170" s="1356">
        <f t="shared" si="65"/>
        <v>0</v>
      </c>
      <c r="M170" s="1356">
        <f t="shared" si="66"/>
        <v>-13659.028056192372</v>
      </c>
    </row>
    <row r="171" spans="1:13" ht="14.25" customHeight="1">
      <c r="A171" s="1286" t="s">
        <v>1057</v>
      </c>
      <c r="B171" s="1285" t="s">
        <v>1058</v>
      </c>
      <c r="C171" s="1355">
        <f>'[15]RSD-NO'!$AD42</f>
        <v>640</v>
      </c>
      <c r="D171" s="1355">
        <f>'[17]Selected Sites'!$G102</f>
        <v>686</v>
      </c>
      <c r="E171" s="1352">
        <f t="shared" si="60"/>
        <v>46</v>
      </c>
      <c r="F171" s="1352">
        <f t="shared" si="61"/>
        <v>46</v>
      </c>
      <c r="G171" s="1352">
        <f t="shared" si="62"/>
        <v>0</v>
      </c>
      <c r="H171" s="1356">
        <f>'Table 5B1_RSD_Orleans'!D35</f>
        <v>3252.0270959716217</v>
      </c>
      <c r="I171" s="1356">
        <f>'Table 5B1_RSD_Orleans'!F35</f>
        <v>721.28337970262919</v>
      </c>
      <c r="J171" s="1356">
        <f t="shared" si="63"/>
        <v>1986.6552378371255</v>
      </c>
      <c r="K171" s="1354">
        <f t="shared" si="64"/>
        <v>91386.140940507772</v>
      </c>
      <c r="L171" s="1356">
        <f t="shared" si="65"/>
        <v>91386.140940507772</v>
      </c>
      <c r="M171" s="1356">
        <f t="shared" si="66"/>
        <v>0</v>
      </c>
    </row>
    <row r="172" spans="1:13" ht="14.25" customHeight="1">
      <c r="A172" s="1287" t="s">
        <v>1059</v>
      </c>
      <c r="B172" s="1288" t="s">
        <v>1060</v>
      </c>
      <c r="C172" s="1357">
        <f>'[15]RSD-NO'!$AD43</f>
        <v>400</v>
      </c>
      <c r="D172" s="1357">
        <f>'[17]Selected Sites'!$G103</f>
        <v>399</v>
      </c>
      <c r="E172" s="1359">
        <f t="shared" si="60"/>
        <v>-1</v>
      </c>
      <c r="F172" s="1359">
        <f t="shared" si="61"/>
        <v>0</v>
      </c>
      <c r="G172" s="1359">
        <f t="shared" si="62"/>
        <v>-1</v>
      </c>
      <c r="H172" s="1360">
        <f>'Table 5B1_RSD_Orleans'!D36</f>
        <v>3252.0270959716217</v>
      </c>
      <c r="I172" s="1360">
        <f>'Table 5B1_RSD_Orleans'!F36</f>
        <v>600.21655982905986</v>
      </c>
      <c r="J172" s="1360">
        <f t="shared" si="63"/>
        <v>1926.1218279003408</v>
      </c>
      <c r="K172" s="1362">
        <f t="shared" si="64"/>
        <v>-1926.1218279003408</v>
      </c>
      <c r="L172" s="1360">
        <f t="shared" si="65"/>
        <v>0</v>
      </c>
      <c r="M172" s="1360">
        <f t="shared" si="66"/>
        <v>-1926.1218279003408</v>
      </c>
    </row>
    <row r="173" spans="1:13" ht="14.25" customHeight="1">
      <c r="A173" s="1286" t="s">
        <v>1061</v>
      </c>
      <c r="B173" s="1285" t="s">
        <v>1062</v>
      </c>
      <c r="C173" s="1351">
        <f>'[15]RSD-NO'!$AD44</f>
        <v>779</v>
      </c>
      <c r="D173" s="1351">
        <f>'[17]Selected Sites'!$G104</f>
        <v>785</v>
      </c>
      <c r="E173" s="1352">
        <f t="shared" si="60"/>
        <v>6</v>
      </c>
      <c r="F173" s="1352">
        <f t="shared" si="61"/>
        <v>6</v>
      </c>
      <c r="G173" s="1352">
        <f t="shared" si="62"/>
        <v>0</v>
      </c>
      <c r="H173" s="1353">
        <f>'Table 5B1_RSD_Orleans'!D37</f>
        <v>3252.0270959716217</v>
      </c>
      <c r="I173" s="1353">
        <f>'Table 5B1_RSD_Orleans'!F37</f>
        <v>776.90344307346322</v>
      </c>
      <c r="J173" s="1353">
        <f t="shared" si="63"/>
        <v>2014.4652695225425</v>
      </c>
      <c r="K173" s="1354">
        <f t="shared" si="64"/>
        <v>12086.791617135255</v>
      </c>
      <c r="L173" s="1353">
        <f t="shared" si="65"/>
        <v>12086.791617135255</v>
      </c>
      <c r="M173" s="1353">
        <f t="shared" si="66"/>
        <v>0</v>
      </c>
    </row>
    <row r="174" spans="1:13" ht="14.25" customHeight="1">
      <c r="A174" s="1286" t="s">
        <v>1063</v>
      </c>
      <c r="B174" s="1285" t="s">
        <v>1064</v>
      </c>
      <c r="C174" s="1355">
        <f>'[15]RSD-NO'!$AD45</f>
        <v>421</v>
      </c>
      <c r="D174" s="1355">
        <f>'[17]Selected Sites'!$G105</f>
        <v>422</v>
      </c>
      <c r="E174" s="1352">
        <f t="shared" si="60"/>
        <v>1</v>
      </c>
      <c r="F174" s="1352">
        <f t="shared" si="61"/>
        <v>1</v>
      </c>
      <c r="G174" s="1352">
        <f t="shared" si="62"/>
        <v>0</v>
      </c>
      <c r="H174" s="1356">
        <f>'Table 5B1_RSD_Orleans'!D38</f>
        <v>3252.0270959716217</v>
      </c>
      <c r="I174" s="1356">
        <f>'Table 5B1_RSD_Orleans'!F38</f>
        <v>642.89065513553726</v>
      </c>
      <c r="J174" s="1356">
        <f t="shared" si="63"/>
        <v>1947.4588755535794</v>
      </c>
      <c r="K174" s="1354">
        <f t="shared" si="64"/>
        <v>1947.4588755535794</v>
      </c>
      <c r="L174" s="1356">
        <f t="shared" si="65"/>
        <v>1947.4588755535794</v>
      </c>
      <c r="M174" s="1356">
        <f t="shared" si="66"/>
        <v>0</v>
      </c>
    </row>
    <row r="175" spans="1:13" ht="14.25" customHeight="1">
      <c r="A175" s="1286" t="s">
        <v>1065</v>
      </c>
      <c r="B175" s="1285" t="s">
        <v>1066</v>
      </c>
      <c r="C175" s="1355">
        <f>'[15]RSD-NO'!$AD46</f>
        <v>488</v>
      </c>
      <c r="D175" s="1355">
        <f>'[17]Selected Sites'!$G106</f>
        <v>480</v>
      </c>
      <c r="E175" s="1352">
        <f t="shared" si="60"/>
        <v>-8</v>
      </c>
      <c r="F175" s="1352">
        <f t="shared" si="61"/>
        <v>0</v>
      </c>
      <c r="G175" s="1352">
        <f t="shared" si="62"/>
        <v>-8</v>
      </c>
      <c r="H175" s="1356">
        <f>'Table 5B1_RSD_Orleans'!D39</f>
        <v>3252.0270959716217</v>
      </c>
      <c r="I175" s="1356">
        <f>'Table 5B1_RSD_Orleans'!F39</f>
        <v>594.39059133489468</v>
      </c>
      <c r="J175" s="1356">
        <f t="shared" si="63"/>
        <v>1923.2088436532581</v>
      </c>
      <c r="K175" s="1354">
        <f t="shared" si="64"/>
        <v>-15385.670749226065</v>
      </c>
      <c r="L175" s="1356">
        <f t="shared" si="65"/>
        <v>0</v>
      </c>
      <c r="M175" s="1356">
        <f t="shared" si="66"/>
        <v>-15385.670749226065</v>
      </c>
    </row>
    <row r="176" spans="1:13" ht="14.25" customHeight="1">
      <c r="A176" s="1286" t="s">
        <v>1067</v>
      </c>
      <c r="B176" s="1285" t="s">
        <v>1068</v>
      </c>
      <c r="C176" s="1355">
        <f>'[15]RSD-NO'!$AD47</f>
        <v>642</v>
      </c>
      <c r="D176" s="1355">
        <f>'[17]Selected Sites'!$G107</f>
        <v>641</v>
      </c>
      <c r="E176" s="1352">
        <f t="shared" si="60"/>
        <v>-1</v>
      </c>
      <c r="F176" s="1352">
        <f t="shared" si="61"/>
        <v>0</v>
      </c>
      <c r="G176" s="1352">
        <f t="shared" si="62"/>
        <v>-1</v>
      </c>
      <c r="H176" s="1356">
        <f>'Table 5B1_RSD_Orleans'!D40</f>
        <v>3252.0270959716217</v>
      </c>
      <c r="I176" s="1356">
        <f>'Table 5B1_RSD_Orleans'!F40</f>
        <v>678.38194087511556</v>
      </c>
      <c r="J176" s="1356">
        <f t="shared" si="63"/>
        <v>1965.2045184233687</v>
      </c>
      <c r="K176" s="1354">
        <f t="shared" si="64"/>
        <v>-1965.2045184233687</v>
      </c>
      <c r="L176" s="1356">
        <f t="shared" si="65"/>
        <v>0</v>
      </c>
      <c r="M176" s="1356">
        <f t="shared" si="66"/>
        <v>-1965.2045184233687</v>
      </c>
    </row>
    <row r="177" spans="1:13" ht="14.25" customHeight="1">
      <c r="A177" s="1287" t="s">
        <v>1069</v>
      </c>
      <c r="B177" s="1288" t="s">
        <v>1070</v>
      </c>
      <c r="C177" s="1357">
        <f>'[15]RSD-NO'!$AD48</f>
        <v>607</v>
      </c>
      <c r="D177" s="1357">
        <f>'[17]Selected Sites'!$G108</f>
        <v>592</v>
      </c>
      <c r="E177" s="1359">
        <f t="shared" si="60"/>
        <v>-15</v>
      </c>
      <c r="F177" s="1359">
        <f t="shared" si="61"/>
        <v>0</v>
      </c>
      <c r="G177" s="1359">
        <f t="shared" si="62"/>
        <v>-15</v>
      </c>
      <c r="H177" s="1360">
        <f>'Table 5B1_RSD_Orleans'!D41</f>
        <v>3252.0270959716217</v>
      </c>
      <c r="I177" s="1360">
        <f>'Table 5B1_RSD_Orleans'!F41</f>
        <v>686.92241021135874</v>
      </c>
      <c r="J177" s="1360">
        <f t="shared" si="63"/>
        <v>1969.4747530914901</v>
      </c>
      <c r="K177" s="1362">
        <f t="shared" si="64"/>
        <v>-29542.121296372352</v>
      </c>
      <c r="L177" s="1360">
        <f t="shared" si="65"/>
        <v>0</v>
      </c>
      <c r="M177" s="1360">
        <f t="shared" si="66"/>
        <v>-29542.121296372352</v>
      </c>
    </row>
    <row r="178" spans="1:13" ht="14.25" customHeight="1">
      <c r="A178" s="1286" t="s">
        <v>1071</v>
      </c>
      <c r="B178" s="1285" t="s">
        <v>1072</v>
      </c>
      <c r="C178" s="1351">
        <f>'[15]RSD-NO'!$AD49</f>
        <v>626</v>
      </c>
      <c r="D178" s="1351">
        <f>'[17]Selected Sites'!$G109</f>
        <v>610</v>
      </c>
      <c r="E178" s="1352">
        <f t="shared" si="60"/>
        <v>-16</v>
      </c>
      <c r="F178" s="1352">
        <f t="shared" si="61"/>
        <v>0</v>
      </c>
      <c r="G178" s="1352">
        <f t="shared" si="62"/>
        <v>-16</v>
      </c>
      <c r="H178" s="1353">
        <f>'Table 5B1_RSD_Orleans'!D42</f>
        <v>3252.0270959716217</v>
      </c>
      <c r="I178" s="1353">
        <f>'Table 5B1_RSD_Orleans'!F42</f>
        <v>761.3587570202327</v>
      </c>
      <c r="J178" s="1353">
        <f t="shared" si="63"/>
        <v>2006.6929264959272</v>
      </c>
      <c r="K178" s="1354">
        <f t="shared" si="64"/>
        <v>-32107.086823934835</v>
      </c>
      <c r="L178" s="1353">
        <f t="shared" si="65"/>
        <v>0</v>
      </c>
      <c r="M178" s="1353">
        <f t="shared" si="66"/>
        <v>-32107.086823934835</v>
      </c>
    </row>
    <row r="179" spans="1:13" ht="14.25" customHeight="1">
      <c r="A179" s="1286" t="s">
        <v>1073</v>
      </c>
      <c r="B179" s="1285" t="s">
        <v>1074</v>
      </c>
      <c r="C179" s="1355">
        <f>'[15]RSD-NO'!$AD50</f>
        <v>488</v>
      </c>
      <c r="D179" s="1355">
        <f>'[17]Selected Sites'!$G110</f>
        <v>471</v>
      </c>
      <c r="E179" s="1352">
        <f t="shared" si="60"/>
        <v>-17</v>
      </c>
      <c r="F179" s="1352">
        <f t="shared" si="61"/>
        <v>0</v>
      </c>
      <c r="G179" s="1352">
        <f t="shared" si="62"/>
        <v>-17</v>
      </c>
      <c r="H179" s="1356">
        <f>'Table 5B1_RSD_Orleans'!D43</f>
        <v>3252.0270959716217</v>
      </c>
      <c r="I179" s="1356">
        <f>'Table 5B1_RSD_Orleans'!F43</f>
        <v>1003.4698393033485</v>
      </c>
      <c r="J179" s="1356">
        <f t="shared" si="63"/>
        <v>2127.7484676374852</v>
      </c>
      <c r="K179" s="1354">
        <f t="shared" si="64"/>
        <v>-36171.723949837251</v>
      </c>
      <c r="L179" s="1356">
        <f t="shared" si="65"/>
        <v>0</v>
      </c>
      <c r="M179" s="1356">
        <f t="shared" si="66"/>
        <v>-36171.723949837251</v>
      </c>
    </row>
    <row r="180" spans="1:13" ht="14.25" customHeight="1">
      <c r="A180" s="1286" t="s">
        <v>1075</v>
      </c>
      <c r="B180" s="1285" t="s">
        <v>1076</v>
      </c>
      <c r="C180" s="1355">
        <f>'[15]RSD-NO'!$AD51</f>
        <v>890</v>
      </c>
      <c r="D180" s="1355">
        <f>'[17]Selected Sites'!$G111</f>
        <v>858</v>
      </c>
      <c r="E180" s="1352">
        <f t="shared" si="60"/>
        <v>-32</v>
      </c>
      <c r="F180" s="1352">
        <f t="shared" si="61"/>
        <v>0</v>
      </c>
      <c r="G180" s="1352">
        <f t="shared" si="62"/>
        <v>-32</v>
      </c>
      <c r="H180" s="1356">
        <f>'Table 5B1_RSD_Orleans'!D44</f>
        <v>3252.0270959716217</v>
      </c>
      <c r="I180" s="1356">
        <f>'Table 5B1_RSD_Orleans'!F44</f>
        <v>592.05529010815155</v>
      </c>
      <c r="J180" s="1356">
        <f t="shared" si="63"/>
        <v>1922.0411930398866</v>
      </c>
      <c r="K180" s="1354">
        <f t="shared" si="64"/>
        <v>-61505.318177276371</v>
      </c>
      <c r="L180" s="1356">
        <f t="shared" si="65"/>
        <v>0</v>
      </c>
      <c r="M180" s="1356">
        <f t="shared" si="66"/>
        <v>-61505.318177276371</v>
      </c>
    </row>
    <row r="181" spans="1:13" ht="14.25" customHeight="1">
      <c r="A181" s="1286" t="s">
        <v>1077</v>
      </c>
      <c r="B181" s="1285" t="s">
        <v>1078</v>
      </c>
      <c r="C181" s="1355">
        <f>'[15]RSD-NO'!$AD52</f>
        <v>290</v>
      </c>
      <c r="D181" s="1355">
        <f>'[17]Selected Sites'!$G112</f>
        <v>278</v>
      </c>
      <c r="E181" s="1352">
        <f t="shared" si="60"/>
        <v>-12</v>
      </c>
      <c r="F181" s="1352">
        <f t="shared" si="61"/>
        <v>0</v>
      </c>
      <c r="G181" s="1352">
        <f t="shared" si="62"/>
        <v>-12</v>
      </c>
      <c r="H181" s="1356">
        <f>'Table 5B1_RSD_Orleans'!D45</f>
        <v>3252.0270959716217</v>
      </c>
      <c r="I181" s="1356">
        <f>'Table 5B1_RSD_Orleans'!F45</f>
        <v>907.69666061705993</v>
      </c>
      <c r="J181" s="1356">
        <f t="shared" si="63"/>
        <v>2079.8618782943408</v>
      </c>
      <c r="K181" s="1354">
        <f t="shared" si="64"/>
        <v>-24958.342539532088</v>
      </c>
      <c r="L181" s="1356">
        <f t="shared" si="65"/>
        <v>0</v>
      </c>
      <c r="M181" s="1356">
        <f t="shared" si="66"/>
        <v>-24958.342539532088</v>
      </c>
    </row>
    <row r="182" spans="1:13" ht="14.25" customHeight="1">
      <c r="A182" s="1287" t="s">
        <v>1079</v>
      </c>
      <c r="B182" s="1288" t="s">
        <v>1080</v>
      </c>
      <c r="C182" s="1357">
        <f>'[15]RSD-NO'!$AD53</f>
        <v>476</v>
      </c>
      <c r="D182" s="1357">
        <f>'[17]Selected Sites'!$G113</f>
        <v>469</v>
      </c>
      <c r="E182" s="1359">
        <f t="shared" si="60"/>
        <v>-7</v>
      </c>
      <c r="F182" s="1359">
        <f t="shared" si="61"/>
        <v>0</v>
      </c>
      <c r="G182" s="1359">
        <f t="shared" si="62"/>
        <v>-7</v>
      </c>
      <c r="H182" s="1360">
        <f>'Table 5B1_RSD_Orleans'!D46</f>
        <v>3252.0270959716217</v>
      </c>
      <c r="I182" s="1360">
        <f>'Table 5B1_RSD_Orleans'!F46</f>
        <v>741.72363820787723</v>
      </c>
      <c r="J182" s="1360">
        <f t="shared" si="63"/>
        <v>1996.8753670897495</v>
      </c>
      <c r="K182" s="1362">
        <f t="shared" si="64"/>
        <v>-13978.127569628246</v>
      </c>
      <c r="L182" s="1360">
        <f t="shared" si="65"/>
        <v>0</v>
      </c>
      <c r="M182" s="1360">
        <f t="shared" si="66"/>
        <v>-13978.127569628246</v>
      </c>
    </row>
    <row r="183" spans="1:13" ht="14.25" customHeight="1">
      <c r="A183" s="1286" t="s">
        <v>1081</v>
      </c>
      <c r="B183" s="1285" t="s">
        <v>1082</v>
      </c>
      <c r="C183" s="1351">
        <f>'[15]RSD-NO'!$AD54</f>
        <v>478</v>
      </c>
      <c r="D183" s="1351">
        <f>'[17]Selected Sites'!$G114</f>
        <v>481</v>
      </c>
      <c r="E183" s="1352">
        <f t="shared" si="60"/>
        <v>3</v>
      </c>
      <c r="F183" s="1352">
        <f t="shared" si="61"/>
        <v>3</v>
      </c>
      <c r="G183" s="1352">
        <f t="shared" si="62"/>
        <v>0</v>
      </c>
      <c r="H183" s="1353">
        <f>'Table 5B1_RSD_Orleans'!D47</f>
        <v>3252.0270959716217</v>
      </c>
      <c r="I183" s="1353">
        <f>'Table 5B1_RSD_Orleans'!F47</f>
        <v>643.94778836855926</v>
      </c>
      <c r="J183" s="1353">
        <f t="shared" si="63"/>
        <v>1947.9874421700906</v>
      </c>
      <c r="K183" s="1354">
        <f t="shared" si="64"/>
        <v>5843.9623265102719</v>
      </c>
      <c r="L183" s="1353">
        <f t="shared" si="65"/>
        <v>5843.9623265102719</v>
      </c>
      <c r="M183" s="1353">
        <f t="shared" si="66"/>
        <v>0</v>
      </c>
    </row>
    <row r="184" spans="1:13" ht="14.25" customHeight="1">
      <c r="A184" s="1286" t="s">
        <v>1083</v>
      </c>
      <c r="B184" s="1285" t="s">
        <v>1084</v>
      </c>
      <c r="C184" s="1355">
        <f>'[15]RSD-NO'!$AD55</f>
        <v>557</v>
      </c>
      <c r="D184" s="1355">
        <f>'[17]Selected Sites'!$G115</f>
        <v>556</v>
      </c>
      <c r="E184" s="1352">
        <f t="shared" si="60"/>
        <v>-1</v>
      </c>
      <c r="F184" s="1352">
        <f t="shared" si="61"/>
        <v>0</v>
      </c>
      <c r="G184" s="1352">
        <f t="shared" si="62"/>
        <v>-1</v>
      </c>
      <c r="H184" s="1356">
        <f>'Table 5B1_RSD_Orleans'!D48</f>
        <v>3252.0270959716217</v>
      </c>
      <c r="I184" s="1356">
        <f>'Table 5B1_RSD_Orleans'!F48</f>
        <v>724.79250196607131</v>
      </c>
      <c r="J184" s="1356">
        <f t="shared" si="63"/>
        <v>1988.4097989688466</v>
      </c>
      <c r="K184" s="1354">
        <f t="shared" si="64"/>
        <v>-1988.4097989688466</v>
      </c>
      <c r="L184" s="1356">
        <f t="shared" si="65"/>
        <v>0</v>
      </c>
      <c r="M184" s="1356">
        <f t="shared" si="66"/>
        <v>-1988.4097989688466</v>
      </c>
    </row>
    <row r="185" spans="1:13" ht="14.25" customHeight="1">
      <c r="A185" s="1286" t="s">
        <v>1085</v>
      </c>
      <c r="B185" s="1285" t="s">
        <v>1086</v>
      </c>
      <c r="C185" s="1355">
        <f>'[15]RSD-NO'!$AD56</f>
        <v>397</v>
      </c>
      <c r="D185" s="1355">
        <f>'[17]Selected Sites'!$G116</f>
        <v>387</v>
      </c>
      <c r="E185" s="1352">
        <f t="shared" si="60"/>
        <v>-10</v>
      </c>
      <c r="F185" s="1352">
        <f t="shared" si="61"/>
        <v>0</v>
      </c>
      <c r="G185" s="1352">
        <f t="shared" si="62"/>
        <v>-10</v>
      </c>
      <c r="H185" s="1356">
        <f>'Table 5B1_RSD_Orleans'!D49</f>
        <v>3252.0270959716217</v>
      </c>
      <c r="I185" s="1356">
        <f>'Table 5B1_RSD_Orleans'!F49</f>
        <v>592.5310423197493</v>
      </c>
      <c r="J185" s="1356">
        <f t="shared" si="63"/>
        <v>1922.2790691456855</v>
      </c>
      <c r="K185" s="1354">
        <f t="shared" si="64"/>
        <v>-19222.790691456856</v>
      </c>
      <c r="L185" s="1356">
        <f t="shared" si="65"/>
        <v>0</v>
      </c>
      <c r="M185" s="1356">
        <f t="shared" si="66"/>
        <v>-19222.790691456856</v>
      </c>
    </row>
    <row r="186" spans="1:13" ht="14.25" customHeight="1">
      <c r="A186" s="1286" t="s">
        <v>1087</v>
      </c>
      <c r="B186" s="1285" t="s">
        <v>1088</v>
      </c>
      <c r="C186" s="1355">
        <f>'[15]RSD-NO'!$AD57</f>
        <v>421</v>
      </c>
      <c r="D186" s="1355">
        <f>'[17]Selected Sites'!$G117</f>
        <v>416</v>
      </c>
      <c r="E186" s="1352">
        <f t="shared" si="60"/>
        <v>-5</v>
      </c>
      <c r="F186" s="1352">
        <f t="shared" si="61"/>
        <v>0</v>
      </c>
      <c r="G186" s="1352">
        <f t="shared" si="62"/>
        <v>-5</v>
      </c>
      <c r="H186" s="1356">
        <f>'Table 5B1_RSD_Orleans'!D50</f>
        <v>3252.0270959716217</v>
      </c>
      <c r="I186" s="1356">
        <f>'Table 5B1_RSD_Orleans'!F50</f>
        <v>741.31578947368428</v>
      </c>
      <c r="J186" s="1356">
        <f t="shared" si="63"/>
        <v>1996.671442722653</v>
      </c>
      <c r="K186" s="1354">
        <f t="shared" si="64"/>
        <v>-9983.3572136132643</v>
      </c>
      <c r="L186" s="1356">
        <f t="shared" si="65"/>
        <v>0</v>
      </c>
      <c r="M186" s="1356">
        <f t="shared" si="66"/>
        <v>-9983.3572136132643</v>
      </c>
    </row>
    <row r="187" spans="1:13" ht="13.5" customHeight="1">
      <c r="A187" s="1287" t="s">
        <v>1089</v>
      </c>
      <c r="B187" s="1288" t="s">
        <v>1090</v>
      </c>
      <c r="C187" s="1357">
        <f>'[15]RSD-NO'!$AD58</f>
        <v>296</v>
      </c>
      <c r="D187" s="1357">
        <f>'[17]Selected Sites'!$G118</f>
        <v>271</v>
      </c>
      <c r="E187" s="1359">
        <f t="shared" si="60"/>
        <v>-25</v>
      </c>
      <c r="F187" s="1359">
        <f t="shared" si="61"/>
        <v>0</v>
      </c>
      <c r="G187" s="1359">
        <f t="shared" si="62"/>
        <v>-25</v>
      </c>
      <c r="H187" s="1360">
        <f>'Table 5B1_RSD_Orleans'!D51</f>
        <v>3252.0270959716217</v>
      </c>
      <c r="I187" s="1360">
        <f>'Table 5B1_RSD_Orleans'!F51</f>
        <v>746.0335616438357</v>
      </c>
      <c r="J187" s="1360">
        <f t="shared" si="63"/>
        <v>1999.0303288077287</v>
      </c>
      <c r="K187" s="1362">
        <f t="shared" si="64"/>
        <v>-49975.758220193216</v>
      </c>
      <c r="L187" s="1360">
        <f t="shared" si="65"/>
        <v>0</v>
      </c>
      <c r="M187" s="1360">
        <f t="shared" si="66"/>
        <v>-49975.758220193216</v>
      </c>
    </row>
    <row r="188" spans="1:13" ht="13.5" customHeight="1">
      <c r="A188" s="1286" t="s">
        <v>1091</v>
      </c>
      <c r="B188" s="1285" t="s">
        <v>1092</v>
      </c>
      <c r="C188" s="1351">
        <f>'[15]RSD-NO'!$AD59</f>
        <v>313</v>
      </c>
      <c r="D188" s="1351">
        <f>'[17]Selected Sites'!$G119</f>
        <v>309</v>
      </c>
      <c r="E188" s="1352">
        <f t="shared" si="60"/>
        <v>-4</v>
      </c>
      <c r="F188" s="1352">
        <f t="shared" si="61"/>
        <v>0</v>
      </c>
      <c r="G188" s="1352">
        <f t="shared" si="62"/>
        <v>-4</v>
      </c>
      <c r="H188" s="1353">
        <f>'Table 5B1_RSD_Orleans'!D52</f>
        <v>3252.0270959716217</v>
      </c>
      <c r="I188" s="1353">
        <f>'Table 5B1_RSD_Orleans'!F52</f>
        <v>746.0335616438357</v>
      </c>
      <c r="J188" s="1353">
        <f t="shared" si="63"/>
        <v>1999.0303288077287</v>
      </c>
      <c r="K188" s="1354">
        <f t="shared" si="64"/>
        <v>-7996.1213152309147</v>
      </c>
      <c r="L188" s="1353">
        <f t="shared" si="65"/>
        <v>0</v>
      </c>
      <c r="M188" s="1353">
        <f t="shared" si="66"/>
        <v>-7996.1213152309147</v>
      </c>
    </row>
    <row r="189" spans="1:13" ht="13.5" customHeight="1">
      <c r="A189" s="1286" t="s">
        <v>1093</v>
      </c>
      <c r="B189" s="1285" t="s">
        <v>1094</v>
      </c>
      <c r="C189" s="1355">
        <f>'[15]RSD-NO'!$AD60</f>
        <v>518</v>
      </c>
      <c r="D189" s="1355">
        <f>'[17]Selected Sites'!$G120</f>
        <v>515</v>
      </c>
      <c r="E189" s="1352">
        <f t="shared" si="60"/>
        <v>-3</v>
      </c>
      <c r="F189" s="1352">
        <f t="shared" si="61"/>
        <v>0</v>
      </c>
      <c r="G189" s="1352">
        <f t="shared" si="62"/>
        <v>-3</v>
      </c>
      <c r="H189" s="1356">
        <f>'Table 5B1_RSD_Orleans'!D53</f>
        <v>3252.0270959716217</v>
      </c>
      <c r="I189" s="1356">
        <f>'Table 5B1_RSD_Orleans'!F53</f>
        <v>752.85062142702634</v>
      </c>
      <c r="J189" s="1356">
        <f t="shared" si="63"/>
        <v>2002.4388586993241</v>
      </c>
      <c r="K189" s="1354">
        <f t="shared" si="64"/>
        <v>-6007.3165760979718</v>
      </c>
      <c r="L189" s="1356">
        <f t="shared" si="65"/>
        <v>0</v>
      </c>
      <c r="M189" s="1356">
        <f t="shared" si="66"/>
        <v>-6007.3165760979718</v>
      </c>
    </row>
    <row r="190" spans="1:13" ht="13.5" customHeight="1">
      <c r="A190" s="1185" t="s">
        <v>1095</v>
      </c>
      <c r="B190" s="1285" t="s">
        <v>1096</v>
      </c>
      <c r="C190" s="1355">
        <f>'[15]RSD-NO'!$AD61</f>
        <v>426</v>
      </c>
      <c r="D190" s="1355">
        <f>'[17]Selected Sites'!$G121</f>
        <v>421</v>
      </c>
      <c r="E190" s="1352">
        <f t="shared" si="60"/>
        <v>-5</v>
      </c>
      <c r="F190" s="1352">
        <f t="shared" si="61"/>
        <v>0</v>
      </c>
      <c r="G190" s="1352">
        <f t="shared" si="62"/>
        <v>-5</v>
      </c>
      <c r="H190" s="1356">
        <f>'Table 5B1_RSD_Orleans'!D54</f>
        <v>3252.0270959716217</v>
      </c>
      <c r="I190" s="1356">
        <f>'Table 5B1_RSD_Orleans'!F54</f>
        <v>803.97152919927748</v>
      </c>
      <c r="J190" s="1356">
        <f t="shared" si="63"/>
        <v>2027.9993125854496</v>
      </c>
      <c r="K190" s="1354">
        <f t="shared" si="64"/>
        <v>-10139.996562927248</v>
      </c>
      <c r="L190" s="1356">
        <f t="shared" si="65"/>
        <v>0</v>
      </c>
      <c r="M190" s="1356">
        <f t="shared" si="66"/>
        <v>-10139.996562927248</v>
      </c>
    </row>
    <row r="191" spans="1:13" ht="13.5" customHeight="1">
      <c r="A191" s="1185" t="s">
        <v>1097</v>
      </c>
      <c r="B191" s="1285" t="s">
        <v>1098</v>
      </c>
      <c r="C191" s="1355">
        <f>'[15]RSD-NO'!$AD62</f>
        <v>436</v>
      </c>
      <c r="D191" s="1355">
        <f>'[17]Selected Sites'!$G122</f>
        <v>385</v>
      </c>
      <c r="E191" s="1352">
        <f t="shared" si="60"/>
        <v>-51</v>
      </c>
      <c r="F191" s="1352">
        <f>IF(E191&gt;0,E191,0)</f>
        <v>0</v>
      </c>
      <c r="G191" s="1352">
        <f>IF(E191&lt;0,E191,0)</f>
        <v>-51</v>
      </c>
      <c r="H191" s="1356">
        <f>'Table 5B1_RSD_Orleans'!D56</f>
        <v>3252.0270959716217</v>
      </c>
      <c r="I191" s="1356">
        <f>'Table 5B1_RSD_Orleans'!F56</f>
        <v>746.0335616438357</v>
      </c>
      <c r="J191" s="1356">
        <f t="shared" si="63"/>
        <v>1999.0303288077287</v>
      </c>
      <c r="K191" s="1354">
        <f>E191*J191</f>
        <v>-101950.54676919416</v>
      </c>
      <c r="L191" s="1353">
        <f>IF(K191&gt;0,K191,0)</f>
        <v>0</v>
      </c>
      <c r="M191" s="1353">
        <f>IF(K191&lt;0,K191,0)</f>
        <v>-101950.54676919416</v>
      </c>
    </row>
    <row r="192" spans="1:13" ht="13.5" customHeight="1">
      <c r="A192" s="1191" t="s">
        <v>1099</v>
      </c>
      <c r="B192" s="1310" t="s">
        <v>1100</v>
      </c>
      <c r="C192" s="1358">
        <f>'[15]RSD-NO'!$AD63</f>
        <v>421</v>
      </c>
      <c r="D192" s="1358">
        <f>'[17]Selected Sites'!$G123</f>
        <v>425</v>
      </c>
      <c r="E192" s="1359">
        <f t="shared" si="60"/>
        <v>4</v>
      </c>
      <c r="F192" s="1359">
        <f t="shared" si="61"/>
        <v>4</v>
      </c>
      <c r="G192" s="1359">
        <f t="shared" si="62"/>
        <v>0</v>
      </c>
      <c r="H192" s="1361">
        <f>'Table 5B1_RSD_Orleans'!D55</f>
        <v>3252.0270959716217</v>
      </c>
      <c r="I192" s="1361">
        <f>'Table 5B1_RSD_Orleans'!F55</f>
        <v>746.0335616438357</v>
      </c>
      <c r="J192" s="1361">
        <f t="shared" si="63"/>
        <v>1999.0303288077287</v>
      </c>
      <c r="K192" s="1362">
        <f t="shared" si="64"/>
        <v>7996.1213152309147</v>
      </c>
      <c r="L192" s="1361">
        <f t="shared" si="65"/>
        <v>7996.1213152309147</v>
      </c>
      <c r="M192" s="1361">
        <f t="shared" si="66"/>
        <v>0</v>
      </c>
    </row>
    <row r="193" spans="1:13" s="1204" customFormat="1" ht="15.75" thickBot="1">
      <c r="A193" s="1200"/>
      <c r="B193" s="1201" t="s">
        <v>1101</v>
      </c>
      <c r="C193" s="1370">
        <f>SUM(C143:C192)</f>
        <v>22505</v>
      </c>
      <c r="D193" s="1370">
        <f>SUM(D143:D192)</f>
        <v>22270</v>
      </c>
      <c r="E193" s="1370">
        <f>SUM(E143:E192)</f>
        <v>-235</v>
      </c>
      <c r="F193" s="1370">
        <f>SUM(F143:F192)</f>
        <v>154</v>
      </c>
      <c r="G193" s="1370">
        <f>SUM(G143:G192)</f>
        <v>-389</v>
      </c>
      <c r="H193" s="1371"/>
      <c r="I193" s="1371"/>
      <c r="J193" s="1371"/>
      <c r="K193" s="1371">
        <f>SUM(K143:K192)</f>
        <v>-465232.51391381311</v>
      </c>
      <c r="L193" s="1371">
        <f>SUM(L143:L192)</f>
        <v>307566.91228890303</v>
      </c>
      <c r="M193" s="1371">
        <f>SUM(M143:M192)</f>
        <v>-772799.42620271619</v>
      </c>
    </row>
    <row r="194" spans="1:13" ht="6.75" customHeight="1" thickTop="1">
      <c r="A194" s="1282"/>
      <c r="B194" s="1314"/>
      <c r="C194" s="1446"/>
      <c r="D194" s="1446"/>
      <c r="E194" s="1447"/>
      <c r="F194" s="1447"/>
      <c r="G194" s="1447"/>
      <c r="H194" s="1448"/>
      <c r="I194" s="1448"/>
      <c r="J194" s="1448"/>
      <c r="K194" s="1448"/>
      <c r="L194" s="1448"/>
      <c r="M194" s="1448"/>
    </row>
    <row r="195" spans="1:13" ht="14.25" customHeight="1">
      <c r="A195" s="1196" t="s">
        <v>1102</v>
      </c>
      <c r="B195" s="1317" t="s">
        <v>1103</v>
      </c>
      <c r="C195" s="1367">
        <f>'[15]RSD-LA'!$AD15</f>
        <v>363</v>
      </c>
      <c r="D195" s="1367">
        <f>'[17]Selected Sites'!$G64</f>
        <v>326</v>
      </c>
      <c r="E195" s="1450">
        <f t="shared" ref="E195:E200" si="67">D195-C195</f>
        <v>-37</v>
      </c>
      <c r="F195" s="1450">
        <f t="shared" ref="F195:F200" si="68">IF(E195&gt;0,E195,0)</f>
        <v>0</v>
      </c>
      <c r="G195" s="1450">
        <f t="shared" ref="G195:G200" si="69">IF(E195&lt;0,E195,0)</f>
        <v>-37</v>
      </c>
      <c r="H195" s="1451">
        <f>'Table 5B2_RSD_LA'!D10</f>
        <v>3266.8023094143459</v>
      </c>
      <c r="I195" s="1451">
        <f>'Table 5B2_RSD_LA'!F10</f>
        <v>801.07873942625963</v>
      </c>
      <c r="J195" s="1451">
        <f t="shared" ref="J195:J200" si="70">(I195+H195)*0.5</f>
        <v>2033.9405244203028</v>
      </c>
      <c r="K195" s="1452">
        <f t="shared" ref="K195:K200" si="71">E195*J195</f>
        <v>-75255.799403551209</v>
      </c>
      <c r="L195" s="1451">
        <f t="shared" ref="L195:L200" si="72">IF(K195&gt;0,K195,0)</f>
        <v>0</v>
      </c>
      <c r="M195" s="1353">
        <f t="shared" ref="M195:M200" si="73">IF(K195&lt;0,K195,0)</f>
        <v>-75255.799403551209</v>
      </c>
    </row>
    <row r="196" spans="1:13" ht="14.25" customHeight="1">
      <c r="A196" s="1185" t="s">
        <v>1104</v>
      </c>
      <c r="B196" s="1319" t="s">
        <v>1105</v>
      </c>
      <c r="C196" s="1355">
        <f>'[15]RSD-LA'!$AD16</f>
        <v>287</v>
      </c>
      <c r="D196" s="1355">
        <f>'[17]Selected Sites'!$G65</f>
        <v>271</v>
      </c>
      <c r="E196" s="1453">
        <f t="shared" si="67"/>
        <v>-16</v>
      </c>
      <c r="F196" s="1453">
        <f t="shared" si="68"/>
        <v>0</v>
      </c>
      <c r="G196" s="1453">
        <f t="shared" si="69"/>
        <v>-16</v>
      </c>
      <c r="H196" s="1356">
        <f>'Table 5B2_RSD_LA'!D11</f>
        <v>3266.8023094143459</v>
      </c>
      <c r="I196" s="1356">
        <f>'Table 5B2_RSD_LA'!F11</f>
        <v>791.44311827956994</v>
      </c>
      <c r="J196" s="1356">
        <f t="shared" si="70"/>
        <v>2029.122713846958</v>
      </c>
      <c r="K196" s="1354">
        <f t="shared" si="71"/>
        <v>-32465.963421551329</v>
      </c>
      <c r="L196" s="1356">
        <f t="shared" si="72"/>
        <v>0</v>
      </c>
      <c r="M196" s="1353">
        <f t="shared" si="73"/>
        <v>-32465.963421551329</v>
      </c>
    </row>
    <row r="197" spans="1:13" ht="14.25" customHeight="1">
      <c r="A197" s="1185" t="s">
        <v>1106</v>
      </c>
      <c r="B197" s="1320" t="s">
        <v>1107</v>
      </c>
      <c r="C197" s="1355">
        <f>'[15]RSD-LA'!$AD17</f>
        <v>262</v>
      </c>
      <c r="D197" s="1355">
        <f>'[17]Selected Sites'!$G66</f>
        <v>252</v>
      </c>
      <c r="E197" s="1453">
        <f t="shared" si="67"/>
        <v>-10</v>
      </c>
      <c r="F197" s="1453">
        <f t="shared" si="68"/>
        <v>0</v>
      </c>
      <c r="G197" s="1453">
        <f t="shared" si="69"/>
        <v>-10</v>
      </c>
      <c r="H197" s="1356">
        <f>'Table 5B2_RSD_LA'!D12</f>
        <v>3266.8023094143459</v>
      </c>
      <c r="I197" s="1356">
        <f>'Table 5B2_RSD_LA'!F12</f>
        <v>802.4401357466063</v>
      </c>
      <c r="J197" s="1356">
        <f t="shared" si="70"/>
        <v>2034.6212225804761</v>
      </c>
      <c r="K197" s="1354">
        <f t="shared" si="71"/>
        <v>-20346.21222580476</v>
      </c>
      <c r="L197" s="1356">
        <f t="shared" si="72"/>
        <v>0</v>
      </c>
      <c r="M197" s="1353">
        <f t="shared" si="73"/>
        <v>-20346.21222580476</v>
      </c>
    </row>
    <row r="198" spans="1:13" ht="14.25" customHeight="1">
      <c r="A198" s="1185" t="s">
        <v>1108</v>
      </c>
      <c r="B198" s="1320" t="s">
        <v>1109</v>
      </c>
      <c r="C198" s="1355">
        <f>'[15]RSD-LA'!$AD18</f>
        <v>416</v>
      </c>
      <c r="D198" s="1355">
        <f>'[17]Selected Sites'!$G67</f>
        <v>402</v>
      </c>
      <c r="E198" s="1453">
        <f t="shared" si="67"/>
        <v>-14</v>
      </c>
      <c r="F198" s="1453">
        <f t="shared" si="68"/>
        <v>0</v>
      </c>
      <c r="G198" s="1453">
        <f t="shared" si="69"/>
        <v>-14</v>
      </c>
      <c r="H198" s="1356">
        <f>'Table 5B2_RSD_LA'!D13</f>
        <v>3266.8023094143459</v>
      </c>
      <c r="I198" s="1356">
        <f>'Table 5B2_RSD_LA'!F13</f>
        <v>801.07873942625963</v>
      </c>
      <c r="J198" s="1356">
        <f t="shared" si="70"/>
        <v>2033.9405244203028</v>
      </c>
      <c r="K198" s="1354">
        <f t="shared" si="71"/>
        <v>-28475.16734188424</v>
      </c>
      <c r="L198" s="1356">
        <f t="shared" si="72"/>
        <v>0</v>
      </c>
      <c r="M198" s="1353">
        <f t="shared" si="73"/>
        <v>-28475.16734188424</v>
      </c>
    </row>
    <row r="199" spans="1:13" ht="14.25" customHeight="1">
      <c r="A199" s="1198" t="s">
        <v>1110</v>
      </c>
      <c r="B199" s="1321" t="s">
        <v>1111</v>
      </c>
      <c r="C199" s="1358">
        <f>'[15]RSD-LA'!$AD19</f>
        <v>404</v>
      </c>
      <c r="D199" s="1358">
        <f>'[17]Selected Sites'!$G68</f>
        <v>391</v>
      </c>
      <c r="E199" s="1454">
        <f t="shared" si="67"/>
        <v>-13</v>
      </c>
      <c r="F199" s="1454">
        <f t="shared" si="68"/>
        <v>0</v>
      </c>
      <c r="G199" s="1454">
        <f t="shared" si="69"/>
        <v>-13</v>
      </c>
      <c r="H199" s="1361">
        <f>'Table 5B2_RSD_LA'!D14</f>
        <v>3266.8023094143459</v>
      </c>
      <c r="I199" s="1361">
        <f>'Table 5B2_RSD_LA'!F14</f>
        <v>801.07873942625963</v>
      </c>
      <c r="J199" s="1361">
        <f t="shared" si="70"/>
        <v>2033.9405244203028</v>
      </c>
      <c r="K199" s="1362">
        <f t="shared" si="71"/>
        <v>-26441.226817463936</v>
      </c>
      <c r="L199" s="1361">
        <f t="shared" si="72"/>
        <v>0</v>
      </c>
      <c r="M199" s="1360">
        <f t="shared" si="73"/>
        <v>-26441.226817463936</v>
      </c>
    </row>
    <row r="200" spans="1:13" ht="14.25" customHeight="1">
      <c r="A200" s="1198" t="s">
        <v>1112</v>
      </c>
      <c r="B200" s="1322" t="s">
        <v>1113</v>
      </c>
      <c r="C200" s="1358">
        <f>'[15]RSD-LA'!$AD20</f>
        <v>479</v>
      </c>
      <c r="D200" s="1358">
        <f>'[17]Selected Sites'!$G69</f>
        <v>475</v>
      </c>
      <c r="E200" s="1454">
        <f t="shared" si="67"/>
        <v>-4</v>
      </c>
      <c r="F200" s="1454">
        <f t="shared" si="68"/>
        <v>0</v>
      </c>
      <c r="G200" s="1454">
        <f t="shared" si="69"/>
        <v>-4</v>
      </c>
      <c r="H200" s="1361">
        <f>'Table 5B2_RSD_LA'!D17</f>
        <v>3266.8023094143459</v>
      </c>
      <c r="I200" s="1361">
        <f>'Table 5B2_RSD_LA'!F17</f>
        <v>801.07873942625963</v>
      </c>
      <c r="J200" s="1361">
        <f t="shared" si="70"/>
        <v>2033.9405244203028</v>
      </c>
      <c r="K200" s="1362">
        <f t="shared" si="71"/>
        <v>-8135.7620976812113</v>
      </c>
      <c r="L200" s="1361">
        <f t="shared" si="72"/>
        <v>0</v>
      </c>
      <c r="M200" s="1360">
        <f t="shared" si="73"/>
        <v>-8135.7620976812113</v>
      </c>
    </row>
    <row r="201" spans="1:13" s="1204" customFormat="1" ht="15.75" thickBot="1">
      <c r="A201" s="1200"/>
      <c r="B201" s="1201" t="s">
        <v>1114</v>
      </c>
      <c r="C201" s="1370">
        <f>SUM(C195:C200)</f>
        <v>2211</v>
      </c>
      <c r="D201" s="1370">
        <f>SUM(D195:D200)</f>
        <v>2117</v>
      </c>
      <c r="E201" s="1370">
        <f>SUM(E195:E200)</f>
        <v>-94</v>
      </c>
      <c r="F201" s="1370">
        <f>SUM(F195:F200)</f>
        <v>0</v>
      </c>
      <c r="G201" s="1370">
        <f>SUM(G195:G200)</f>
        <v>-94</v>
      </c>
      <c r="H201" s="1371"/>
      <c r="I201" s="1371"/>
      <c r="J201" s="1371"/>
      <c r="K201" s="1371">
        <f>SUM(K195:K200)</f>
        <v>-191120.13130793668</v>
      </c>
      <c r="L201" s="1371">
        <f>SUM(L195:L200)</f>
        <v>0</v>
      </c>
      <c r="M201" s="1371">
        <f>SUM(M195:M200)</f>
        <v>-191120.13130793668</v>
      </c>
    </row>
    <row r="202" spans="1:13" ht="6.75" customHeight="1" thickTop="1">
      <c r="A202" s="1282"/>
      <c r="B202" s="1314"/>
      <c r="C202" s="1446"/>
      <c r="D202" s="1446"/>
      <c r="E202" s="1447"/>
      <c r="F202" s="1447"/>
      <c r="G202" s="1447"/>
      <c r="H202" s="1448"/>
      <c r="I202" s="1448"/>
      <c r="J202" s="1448"/>
      <c r="K202" s="1448"/>
      <c r="L202" s="1448"/>
      <c r="M202" s="1448"/>
    </row>
    <row r="203" spans="1:13" ht="14.25" customHeight="1">
      <c r="A203" s="1329">
        <v>377003</v>
      </c>
      <c r="B203" s="1330" t="s">
        <v>1115</v>
      </c>
      <c r="C203" s="1456">
        <f>'[15]RSD-LA'!$AD$22</f>
        <v>302</v>
      </c>
      <c r="D203" s="1456">
        <f>'[17]Selected Sites'!$G$71</f>
        <v>277</v>
      </c>
      <c r="E203" s="1457">
        <f t="shared" ref="E203" si="74">D203-C203</f>
        <v>-25</v>
      </c>
      <c r="F203" s="1457">
        <f>IF(E203&gt;0,E203,0)</f>
        <v>0</v>
      </c>
      <c r="G203" s="1457">
        <f>IF(E203&lt;0,E203,0)</f>
        <v>-25</v>
      </c>
      <c r="H203" s="1458">
        <f>'Table 5B2_RSD_LA'!D23</f>
        <v>3635.3042654739083</v>
      </c>
      <c r="I203" s="1458">
        <f>'Table 5B2_RSD_LA'!F23</f>
        <v>720.25142180094781</v>
      </c>
      <c r="J203" s="1458">
        <f>(I203+H203)*0.5</f>
        <v>2177.7778436374283</v>
      </c>
      <c r="K203" s="1459">
        <f>E203*J203</f>
        <v>-54444.446090935708</v>
      </c>
      <c r="L203" s="1458">
        <f>IF(K203&gt;0,K203,0)</f>
        <v>0</v>
      </c>
      <c r="M203" s="1458">
        <f>IF(K203&lt;0,K203,0)</f>
        <v>-54444.446090935708</v>
      </c>
    </row>
    <row r="204" spans="1:13" s="1204" customFormat="1" ht="15.75" thickBot="1">
      <c r="A204" s="1331"/>
      <c r="B204" s="1201" t="s">
        <v>1116</v>
      </c>
      <c r="C204" s="1370">
        <f t="shared" ref="C204:M204" si="75">SUM(C203)</f>
        <v>302</v>
      </c>
      <c r="D204" s="1370">
        <f>SUM(D203)</f>
        <v>277</v>
      </c>
      <c r="E204" s="1370">
        <f t="shared" si="75"/>
        <v>-25</v>
      </c>
      <c r="F204" s="1370">
        <f t="shared" si="75"/>
        <v>0</v>
      </c>
      <c r="G204" s="1370">
        <f t="shared" si="75"/>
        <v>-25</v>
      </c>
      <c r="H204" s="1371"/>
      <c r="I204" s="1371"/>
      <c r="J204" s="1371"/>
      <c r="K204" s="1371">
        <f t="shared" si="75"/>
        <v>-54444.446090935708</v>
      </c>
      <c r="L204" s="1371">
        <f t="shared" si="75"/>
        <v>0</v>
      </c>
      <c r="M204" s="1371">
        <f t="shared" si="75"/>
        <v>-54444.446090935708</v>
      </c>
    </row>
    <row r="205" spans="1:13" ht="6.75" customHeight="1" thickTop="1">
      <c r="A205" s="1332"/>
      <c r="B205" s="1314"/>
      <c r="C205" s="1446"/>
      <c r="D205" s="1446"/>
      <c r="E205" s="1447"/>
      <c r="F205" s="1447"/>
      <c r="G205" s="1447"/>
      <c r="H205" s="1448"/>
      <c r="I205" s="1448"/>
      <c r="J205" s="1448"/>
      <c r="K205" s="1448"/>
      <c r="L205" s="1448"/>
      <c r="M205" s="1448"/>
    </row>
    <row r="206" spans="1:13" ht="13.5" customHeight="1">
      <c r="A206" s="1333">
        <v>371001</v>
      </c>
      <c r="B206" s="1259" t="s">
        <v>1117</v>
      </c>
      <c r="C206" s="1462">
        <f>'[15]RSD-LA'!$AD$13</f>
        <v>490</v>
      </c>
      <c r="D206" s="1462">
        <f>'[17]Selected Sites'!$G$62</f>
        <v>478</v>
      </c>
      <c r="E206" s="1463">
        <f t="shared" ref="E206" si="76">D206-C206</f>
        <v>-12</v>
      </c>
      <c r="F206" s="1463">
        <f>IF(E206&gt;0,E206,0)</f>
        <v>0</v>
      </c>
      <c r="G206" s="1463">
        <f>IF(E206&lt;0,E206,0)</f>
        <v>-12</v>
      </c>
      <c r="H206" s="1366">
        <f>'Table 5B2_RSD_LA'!D29</f>
        <v>4384.9112825532311</v>
      </c>
      <c r="I206" s="1366">
        <f>'Table 5B2_RSD_LA'!F29</f>
        <v>744.76</v>
      </c>
      <c r="J206" s="1366">
        <f>(I206+H206)*0.5</f>
        <v>2564.8356412766157</v>
      </c>
      <c r="K206" s="1362">
        <f>E206*J206</f>
        <v>-30778.02769531939</v>
      </c>
      <c r="L206" s="1366">
        <f>IF(K206&gt;0,K206,0)</f>
        <v>0</v>
      </c>
      <c r="M206" s="1366">
        <f>IF(K206&lt;0,K206,0)</f>
        <v>-30778.02769531939</v>
      </c>
    </row>
    <row r="207" spans="1:13" s="1204" customFormat="1" ht="15.75" thickBot="1">
      <c r="A207" s="1200"/>
      <c r="B207" s="1201" t="s">
        <v>1118</v>
      </c>
      <c r="C207" s="1370">
        <f t="shared" ref="C207:M207" si="77">SUM(C206)</f>
        <v>490</v>
      </c>
      <c r="D207" s="1370">
        <f>SUM(D206)</f>
        <v>478</v>
      </c>
      <c r="E207" s="1370">
        <f t="shared" si="77"/>
        <v>-12</v>
      </c>
      <c r="F207" s="1370">
        <f t="shared" si="77"/>
        <v>0</v>
      </c>
      <c r="G207" s="1370">
        <f t="shared" si="77"/>
        <v>-12</v>
      </c>
      <c r="H207" s="1371"/>
      <c r="I207" s="1371"/>
      <c r="J207" s="1371"/>
      <c r="K207" s="1371">
        <f t="shared" si="77"/>
        <v>-30778.02769531939</v>
      </c>
      <c r="L207" s="1371">
        <f t="shared" si="77"/>
        <v>0</v>
      </c>
      <c r="M207" s="1371">
        <f t="shared" si="77"/>
        <v>-30778.02769531939</v>
      </c>
    </row>
    <row r="208" spans="1:13" ht="6.75" customHeight="1" thickTop="1">
      <c r="A208" s="1282"/>
      <c r="B208" s="1314"/>
      <c r="C208" s="1446"/>
      <c r="D208" s="1446"/>
      <c r="E208" s="1447"/>
      <c r="F208" s="1447"/>
      <c r="G208" s="1447"/>
      <c r="H208" s="1448"/>
      <c r="I208" s="1448"/>
      <c r="J208" s="1448"/>
      <c r="K208" s="1448"/>
      <c r="L208" s="1448"/>
      <c r="M208" s="1448"/>
    </row>
    <row r="209" spans="1:13" s="1204" customFormat="1" ht="15.75" thickBot="1">
      <c r="A209" s="1200"/>
      <c r="B209" s="1201" t="s">
        <v>1119</v>
      </c>
      <c r="C209" s="1370">
        <v>330</v>
      </c>
      <c r="D209" s="1370">
        <v>330</v>
      </c>
      <c r="E209" s="1370">
        <f t="shared" ref="E209" si="78">D209-C209</f>
        <v>0</v>
      </c>
      <c r="F209" s="1370">
        <f>IF(E209&gt;0,E209,0)</f>
        <v>0</v>
      </c>
      <c r="G209" s="1370">
        <f>IF(E209&lt;0,E209,0)</f>
        <v>0</v>
      </c>
      <c r="H209" s="1371"/>
      <c r="I209" s="1371"/>
      <c r="J209" s="1371"/>
      <c r="K209" s="1371">
        <f>'Oct midyear adj_OJJ'!I75</f>
        <v>0</v>
      </c>
      <c r="L209" s="1366">
        <f>IF(K209&gt;0,K209,0)</f>
        <v>0</v>
      </c>
      <c r="M209" s="1371">
        <f>IF(K209&lt;0,K209,0)</f>
        <v>0</v>
      </c>
    </row>
    <row r="210" spans="1:13" ht="6.75" customHeight="1" thickTop="1">
      <c r="A210" s="1282"/>
      <c r="B210" s="1314"/>
      <c r="C210" s="1446"/>
      <c r="D210" s="1446"/>
      <c r="E210" s="1447"/>
      <c r="F210" s="1447"/>
      <c r="G210" s="1447"/>
      <c r="H210" s="1448"/>
      <c r="I210" s="1448"/>
      <c r="J210" s="1448"/>
      <c r="K210" s="1448"/>
      <c r="L210" s="1448"/>
      <c r="M210" s="1448"/>
    </row>
    <row r="211" spans="1:13" s="1204" customFormat="1" ht="15.75" thickBot="1">
      <c r="A211" s="1200"/>
      <c r="B211" s="1201" t="s">
        <v>1120</v>
      </c>
      <c r="C211" s="1370">
        <f>C75+C79+C82+C85+C95+C99+C106+C112+C120+C127+C131+C134+C141+C193+C201+C204+C207+C209</f>
        <v>679395</v>
      </c>
      <c r="D211" s="1370">
        <f>D75+D79+D82+D85+D95+D99+D106+D112+D120+D127+D131+D134+D141+D193+D201+D204+D207+D209</f>
        <v>676374</v>
      </c>
      <c r="E211" s="1370">
        <f>E75+E79+E82+E85+E95+E99+E106+E112+E120+E127+E131+E134+E141+E193+E201+E204+E207+E209</f>
        <v>-3021</v>
      </c>
      <c r="F211" s="1370">
        <f>F75+F79+F82+F85+F95+F99+F106+F112+F120+F127+F131+F134+F141+F193+F201+F204+F207+F209</f>
        <v>682</v>
      </c>
      <c r="G211" s="1370">
        <f>G75+G79+G82+G85+G95+G99+G106+G112+G120+G127+G131+G134+G141+G193+G201+G204+G207+G209</f>
        <v>-3703</v>
      </c>
      <c r="H211" s="1371"/>
      <c r="I211" s="1371"/>
      <c r="J211" s="1371"/>
      <c r="K211" s="1371">
        <f>K75+K79+K82+K85+K95+K99+K106+K112+K120+K127+K131+K134+K141+K193+K201+K204+K207+K209</f>
        <v>-7421301.6510859877</v>
      </c>
      <c r="L211" s="1371">
        <f>L75+L79+L82+L85+L95+L99+L106+L112+L120+L127+L131+L134+L141+L193+L201+L204+L207+L209</f>
        <v>1676577.1226776692</v>
      </c>
      <c r="M211" s="1371">
        <f>M75+M79+M82+M85+M95+M99+M106+M112+M120+M127+M131+M134+M141+M193+M201+M204+M207+M209</f>
        <v>-9097878.7737636585</v>
      </c>
    </row>
    <row r="212" spans="1:13" ht="6" customHeight="1" thickTop="1">
      <c r="A212" s="1464"/>
      <c r="I212" s="1465"/>
      <c r="J212" s="1465"/>
    </row>
    <row r="213" spans="1:13" s="1575" customFormat="1" ht="13.5" hidden="1" customHeight="1">
      <c r="A213" s="1892"/>
      <c r="B213" s="1893"/>
      <c r="C213" s="1893"/>
      <c r="D213" s="1893"/>
      <c r="E213" s="1893"/>
      <c r="F213" s="1573"/>
      <c r="G213" s="1573"/>
      <c r="H213" s="1574"/>
      <c r="I213" s="1574"/>
      <c r="J213" s="1574"/>
      <c r="K213" s="1574"/>
      <c r="M213" s="1576"/>
    </row>
    <row r="214" spans="1:13" s="1575" customFormat="1" ht="12" hidden="1" customHeight="1">
      <c r="A214" s="1892" t="s">
        <v>1142</v>
      </c>
      <c r="B214" s="1892"/>
      <c r="C214" s="1573"/>
      <c r="D214" s="1573"/>
      <c r="M214" s="1576"/>
    </row>
    <row r="215" spans="1:13" s="1576" customFormat="1" hidden="1">
      <c r="B215" s="1577" t="s">
        <v>1143</v>
      </c>
      <c r="C215" s="1578">
        <f>C75+C141+C193+C201+C204+C207</f>
        <v>669431</v>
      </c>
      <c r="D215" s="1578">
        <f>D75+D141+D193+D201+D204+D207</f>
        <v>666495</v>
      </c>
      <c r="E215" s="1573"/>
      <c r="H215" s="1574"/>
      <c r="I215" s="1574"/>
      <c r="J215" s="1574"/>
      <c r="K215" s="1579">
        <f>K75+K141+K193+K201+K204+K207</f>
        <v>-7069641.410219742</v>
      </c>
    </row>
    <row r="216" spans="1:13" s="1576" customFormat="1" hidden="1">
      <c r="B216" s="1577" t="s">
        <v>1144</v>
      </c>
      <c r="C216" s="1578">
        <f>C99+C95+C106+C112+C120+C127+C131+C134</f>
        <v>7616</v>
      </c>
      <c r="D216" s="1578">
        <f>D99+D95+D106+D112+D120+D127+D131+D134</f>
        <v>7578</v>
      </c>
      <c r="E216" s="1573"/>
      <c r="H216" s="1574"/>
      <c r="I216" s="1574"/>
      <c r="J216" s="1574"/>
      <c r="K216" s="1579">
        <f>K95+K99+K106+K112+K120+K127+K131+K134</f>
        <v>-233386.39962905162</v>
      </c>
    </row>
    <row r="217" spans="1:13" s="1576" customFormat="1" hidden="1">
      <c r="B217" s="1577" t="s">
        <v>1145</v>
      </c>
      <c r="C217" s="1580">
        <f>C79+C82+C85</f>
        <v>2018</v>
      </c>
      <c r="D217" s="1580">
        <f>D79+D82+D85</f>
        <v>1971</v>
      </c>
      <c r="H217" s="1579"/>
      <c r="I217" s="1579"/>
      <c r="J217" s="1579"/>
      <c r="K217" s="1579">
        <f>K79+K82+K85</f>
        <v>-118273.84123719551</v>
      </c>
    </row>
    <row r="218" spans="1:13" s="1576" customFormat="1" hidden="1">
      <c r="B218" s="1577" t="s">
        <v>1146</v>
      </c>
      <c r="C218" s="1581">
        <f>C209</f>
        <v>330</v>
      </c>
      <c r="D218" s="1581">
        <f>D209</f>
        <v>330</v>
      </c>
      <c r="H218" s="1579"/>
      <c r="I218" s="1579"/>
      <c r="J218" s="1579"/>
      <c r="K218" s="1579">
        <f>K209</f>
        <v>0</v>
      </c>
    </row>
    <row r="219" spans="1:13" s="1576" customFormat="1" hidden="1">
      <c r="B219" s="1577" t="s">
        <v>1120</v>
      </c>
      <c r="C219" s="1582">
        <f>SUM(C215:C218)</f>
        <v>679395</v>
      </c>
      <c r="D219" s="1582">
        <f>SUM(D215:D218)</f>
        <v>676374</v>
      </c>
      <c r="H219" s="1579"/>
      <c r="I219" s="1579"/>
      <c r="J219" s="1579"/>
      <c r="K219" s="1579">
        <f>SUM(K215:K218)</f>
        <v>-7421301.6510859895</v>
      </c>
    </row>
    <row r="220" spans="1:13" s="1576" customFormat="1" hidden="1">
      <c r="H220" s="1579"/>
      <c r="I220" s="1583"/>
      <c r="K220" s="1579"/>
    </row>
    <row r="221" spans="1:13" s="1576" customFormat="1" hidden="1">
      <c r="H221" s="1579"/>
      <c r="I221" s="1583"/>
      <c r="K221" s="1579"/>
    </row>
    <row r="222" spans="1:13" s="1576" customFormat="1" hidden="1">
      <c r="H222" s="1579"/>
      <c r="I222" s="1583"/>
      <c r="K222" s="1579"/>
    </row>
    <row r="223" spans="1:13" s="1576" customFormat="1" hidden="1">
      <c r="H223" s="1579"/>
      <c r="I223" s="1583"/>
      <c r="K223" s="1579"/>
    </row>
  </sheetData>
  <mergeCells count="15">
    <mergeCell ref="M2:M3"/>
    <mergeCell ref="A213:E213"/>
    <mergeCell ref="A214:B214"/>
    <mergeCell ref="G2:G3"/>
    <mergeCell ref="H2:H3"/>
    <mergeCell ref="I2:I3"/>
    <mergeCell ref="J2:J3"/>
    <mergeCell ref="K2:K3"/>
    <mergeCell ref="L2:L3"/>
    <mergeCell ref="A2:A3"/>
    <mergeCell ref="B2:B3"/>
    <mergeCell ref="C2:C3"/>
    <mergeCell ref="D2:D3"/>
    <mergeCell ref="E2:E3"/>
    <mergeCell ref="F2:F3"/>
  </mergeCells>
  <pageMargins left="0" right="0" top="0.4" bottom="0.4" header="0" footer="0"/>
  <pageSetup paperSize="5" scale="45" orientation="portrait" r:id="rId1"/>
  <headerFooter>
    <oddHeader>&amp;L&amp;"Arial,Bold"&amp;24FY2011-12 MFP Budget Letter: February 1 Mid-year Adjustment for Students</oddHeader>
    <oddFooter>&amp;L&amp;Z&amp;F</oddFooter>
  </headerFooter>
  <rowBreaks count="2" manualBreakCount="2">
    <brk id="107" max="12" man="1"/>
    <brk id="211" max="12" man="1"/>
  </rowBreaks>
</worksheet>
</file>

<file path=xl/worksheets/sheet24.xml><?xml version="1.0" encoding="utf-8"?>
<worksheet xmlns="http://schemas.openxmlformats.org/spreadsheetml/2006/main" xmlns:r="http://schemas.openxmlformats.org/officeDocument/2006/relationships">
  <dimension ref="A1:M76"/>
  <sheetViews>
    <sheetView view="pageBreakPreview" zoomScale="70" zoomScaleNormal="100" zoomScaleSheetLayoutView="70" workbookViewId="0"/>
  </sheetViews>
  <sheetFormatPr defaultRowHeight="12.75"/>
  <cols>
    <col min="1" max="1" width="5.5703125" style="1181" customWidth="1"/>
    <col min="2" max="2" width="61.28515625" style="1181" customWidth="1"/>
    <col min="3" max="4" width="12.5703125" style="1181" customWidth="1"/>
    <col min="5" max="5" width="15" style="1181" customWidth="1"/>
    <col min="6" max="6" width="11.7109375" style="1181" customWidth="1"/>
    <col min="7" max="7" width="11.85546875" style="1181" customWidth="1"/>
    <col min="8" max="8" width="13.140625" style="1465" customWidth="1"/>
    <col min="9" max="9" width="11.5703125" style="1466" customWidth="1"/>
    <col min="10" max="10" width="15.42578125" style="1181" customWidth="1"/>
    <col min="11" max="11" width="16.85546875" style="1465" customWidth="1"/>
    <col min="12" max="12" width="15.7109375" style="1181" customWidth="1"/>
    <col min="13" max="13" width="16.7109375" style="1181" customWidth="1"/>
    <col min="14" max="256" width="9.140625" style="1181"/>
    <col min="257" max="257" width="4.42578125" style="1181" customWidth="1"/>
    <col min="258" max="258" width="46.85546875" style="1181" customWidth="1"/>
    <col min="259" max="259" width="11.28515625" style="1181" bestFit="1" customWidth="1"/>
    <col min="260" max="260" width="11.42578125" style="1181" bestFit="1" customWidth="1"/>
    <col min="261" max="261" width="11.85546875" style="1181" customWidth="1"/>
    <col min="262" max="262" width="10" style="1181" customWidth="1"/>
    <col min="263" max="263" width="11.140625" style="1181" customWidth="1"/>
    <col min="264" max="264" width="10.28515625" style="1181" bestFit="1" customWidth="1"/>
    <col min="265" max="265" width="10.140625" style="1181" bestFit="1" customWidth="1"/>
    <col min="266" max="266" width="12" style="1181" bestFit="1" customWidth="1"/>
    <col min="267" max="267" width="14.28515625" style="1181" bestFit="1" customWidth="1"/>
    <col min="268" max="268" width="13.5703125" style="1181" bestFit="1" customWidth="1"/>
    <col min="269" max="269" width="13.85546875" style="1181" bestFit="1" customWidth="1"/>
    <col min="270" max="512" width="9.140625" style="1181"/>
    <col min="513" max="513" width="4.42578125" style="1181" customWidth="1"/>
    <col min="514" max="514" width="46.85546875" style="1181" customWidth="1"/>
    <col min="515" max="515" width="11.28515625" style="1181" bestFit="1" customWidth="1"/>
    <col min="516" max="516" width="11.42578125" style="1181" bestFit="1" customWidth="1"/>
    <col min="517" max="517" width="11.85546875" style="1181" customWidth="1"/>
    <col min="518" max="518" width="10" style="1181" customWidth="1"/>
    <col min="519" max="519" width="11.140625" style="1181" customWidth="1"/>
    <col min="520" max="520" width="10.28515625" style="1181" bestFit="1" customWidth="1"/>
    <col min="521" max="521" width="10.140625" style="1181" bestFit="1" customWidth="1"/>
    <col min="522" max="522" width="12" style="1181" bestFit="1" customWidth="1"/>
    <col min="523" max="523" width="14.28515625" style="1181" bestFit="1" customWidth="1"/>
    <col min="524" max="524" width="13.5703125" style="1181" bestFit="1" customWidth="1"/>
    <col min="525" max="525" width="13.85546875" style="1181" bestFit="1" customWidth="1"/>
    <col min="526" max="768" width="9.140625" style="1181"/>
    <col min="769" max="769" width="4.42578125" style="1181" customWidth="1"/>
    <col min="770" max="770" width="46.85546875" style="1181" customWidth="1"/>
    <col min="771" max="771" width="11.28515625" style="1181" bestFit="1" customWidth="1"/>
    <col min="772" max="772" width="11.42578125" style="1181" bestFit="1" customWidth="1"/>
    <col min="773" max="773" width="11.85546875" style="1181" customWidth="1"/>
    <col min="774" max="774" width="10" style="1181" customWidth="1"/>
    <col min="775" max="775" width="11.140625" style="1181" customWidth="1"/>
    <col min="776" max="776" width="10.28515625" style="1181" bestFit="1" customWidth="1"/>
    <col min="777" max="777" width="10.140625" style="1181" bestFit="1" customWidth="1"/>
    <col min="778" max="778" width="12" style="1181" bestFit="1" customWidth="1"/>
    <col min="779" max="779" width="14.28515625" style="1181" bestFit="1" customWidth="1"/>
    <col min="780" max="780" width="13.5703125" style="1181" bestFit="1" customWidth="1"/>
    <col min="781" max="781" width="13.85546875" style="1181" bestFit="1" customWidth="1"/>
    <col min="782" max="1024" width="9.140625" style="1181"/>
    <col min="1025" max="1025" width="4.42578125" style="1181" customWidth="1"/>
    <col min="1026" max="1026" width="46.85546875" style="1181" customWidth="1"/>
    <col min="1027" max="1027" width="11.28515625" style="1181" bestFit="1" customWidth="1"/>
    <col min="1028" max="1028" width="11.42578125" style="1181" bestFit="1" customWidth="1"/>
    <col min="1029" max="1029" width="11.85546875" style="1181" customWidth="1"/>
    <col min="1030" max="1030" width="10" style="1181" customWidth="1"/>
    <col min="1031" max="1031" width="11.140625" style="1181" customWidth="1"/>
    <col min="1032" max="1032" width="10.28515625" style="1181" bestFit="1" customWidth="1"/>
    <col min="1033" max="1033" width="10.140625" style="1181" bestFit="1" customWidth="1"/>
    <col min="1034" max="1034" width="12" style="1181" bestFit="1" customWidth="1"/>
    <col min="1035" max="1035" width="14.28515625" style="1181" bestFit="1" customWidth="1"/>
    <col min="1036" max="1036" width="13.5703125" style="1181" bestFit="1" customWidth="1"/>
    <col min="1037" max="1037" width="13.85546875" style="1181" bestFit="1" customWidth="1"/>
    <col min="1038" max="1280" width="9.140625" style="1181"/>
    <col min="1281" max="1281" width="4.42578125" style="1181" customWidth="1"/>
    <col min="1282" max="1282" width="46.85546875" style="1181" customWidth="1"/>
    <col min="1283" max="1283" width="11.28515625" style="1181" bestFit="1" customWidth="1"/>
    <col min="1284" max="1284" width="11.42578125" style="1181" bestFit="1" customWidth="1"/>
    <col min="1285" max="1285" width="11.85546875" style="1181" customWidth="1"/>
    <col min="1286" max="1286" width="10" style="1181" customWidth="1"/>
    <col min="1287" max="1287" width="11.140625" style="1181" customWidth="1"/>
    <col min="1288" max="1288" width="10.28515625" style="1181" bestFit="1" customWidth="1"/>
    <col min="1289" max="1289" width="10.140625" style="1181" bestFit="1" customWidth="1"/>
    <col min="1290" max="1290" width="12" style="1181" bestFit="1" customWidth="1"/>
    <col min="1291" max="1291" width="14.28515625" style="1181" bestFit="1" customWidth="1"/>
    <col min="1292" max="1292" width="13.5703125" style="1181" bestFit="1" customWidth="1"/>
    <col min="1293" max="1293" width="13.85546875" style="1181" bestFit="1" customWidth="1"/>
    <col min="1294" max="1536" width="9.140625" style="1181"/>
    <col min="1537" max="1537" width="4.42578125" style="1181" customWidth="1"/>
    <col min="1538" max="1538" width="46.85546875" style="1181" customWidth="1"/>
    <col min="1539" max="1539" width="11.28515625" style="1181" bestFit="1" customWidth="1"/>
    <col min="1540" max="1540" width="11.42578125" style="1181" bestFit="1" customWidth="1"/>
    <col min="1541" max="1541" width="11.85546875" style="1181" customWidth="1"/>
    <col min="1542" max="1542" width="10" style="1181" customWidth="1"/>
    <col min="1543" max="1543" width="11.140625" style="1181" customWidth="1"/>
    <col min="1544" max="1544" width="10.28515625" style="1181" bestFit="1" customWidth="1"/>
    <col min="1545" max="1545" width="10.140625" style="1181" bestFit="1" customWidth="1"/>
    <col min="1546" max="1546" width="12" style="1181" bestFit="1" customWidth="1"/>
    <col min="1547" max="1547" width="14.28515625" style="1181" bestFit="1" customWidth="1"/>
    <col min="1548" max="1548" width="13.5703125" style="1181" bestFit="1" customWidth="1"/>
    <col min="1549" max="1549" width="13.85546875" style="1181" bestFit="1" customWidth="1"/>
    <col min="1550" max="1792" width="9.140625" style="1181"/>
    <col min="1793" max="1793" width="4.42578125" style="1181" customWidth="1"/>
    <col min="1794" max="1794" width="46.85546875" style="1181" customWidth="1"/>
    <col min="1795" max="1795" width="11.28515625" style="1181" bestFit="1" customWidth="1"/>
    <col min="1796" max="1796" width="11.42578125" style="1181" bestFit="1" customWidth="1"/>
    <col min="1797" max="1797" width="11.85546875" style="1181" customWidth="1"/>
    <col min="1798" max="1798" width="10" style="1181" customWidth="1"/>
    <col min="1799" max="1799" width="11.140625" style="1181" customWidth="1"/>
    <col min="1800" max="1800" width="10.28515625" style="1181" bestFit="1" customWidth="1"/>
    <col min="1801" max="1801" width="10.140625" style="1181" bestFit="1" customWidth="1"/>
    <col min="1802" max="1802" width="12" style="1181" bestFit="1" customWidth="1"/>
    <col min="1803" max="1803" width="14.28515625" style="1181" bestFit="1" customWidth="1"/>
    <col min="1804" max="1804" width="13.5703125" style="1181" bestFit="1" customWidth="1"/>
    <col min="1805" max="1805" width="13.85546875" style="1181" bestFit="1" customWidth="1"/>
    <col min="1806" max="2048" width="9.140625" style="1181"/>
    <col min="2049" max="2049" width="4.42578125" style="1181" customWidth="1"/>
    <col min="2050" max="2050" width="46.85546875" style="1181" customWidth="1"/>
    <col min="2051" max="2051" width="11.28515625" style="1181" bestFit="1" customWidth="1"/>
    <col min="2052" max="2052" width="11.42578125" style="1181" bestFit="1" customWidth="1"/>
    <col min="2053" max="2053" width="11.85546875" style="1181" customWidth="1"/>
    <col min="2054" max="2054" width="10" style="1181" customWidth="1"/>
    <col min="2055" max="2055" width="11.140625" style="1181" customWidth="1"/>
    <col min="2056" max="2056" width="10.28515625" style="1181" bestFit="1" customWidth="1"/>
    <col min="2057" max="2057" width="10.140625" style="1181" bestFit="1" customWidth="1"/>
    <col min="2058" max="2058" width="12" style="1181" bestFit="1" customWidth="1"/>
    <col min="2059" max="2059" width="14.28515625" style="1181" bestFit="1" customWidth="1"/>
    <col min="2060" max="2060" width="13.5703125" style="1181" bestFit="1" customWidth="1"/>
    <col min="2061" max="2061" width="13.85546875" style="1181" bestFit="1" customWidth="1"/>
    <col min="2062" max="2304" width="9.140625" style="1181"/>
    <col min="2305" max="2305" width="4.42578125" style="1181" customWidth="1"/>
    <col min="2306" max="2306" width="46.85546875" style="1181" customWidth="1"/>
    <col min="2307" max="2307" width="11.28515625" style="1181" bestFit="1" customWidth="1"/>
    <col min="2308" max="2308" width="11.42578125" style="1181" bestFit="1" customWidth="1"/>
    <col min="2309" max="2309" width="11.85546875" style="1181" customWidth="1"/>
    <col min="2310" max="2310" width="10" style="1181" customWidth="1"/>
    <col min="2311" max="2311" width="11.140625" style="1181" customWidth="1"/>
    <col min="2312" max="2312" width="10.28515625" style="1181" bestFit="1" customWidth="1"/>
    <col min="2313" max="2313" width="10.140625" style="1181" bestFit="1" customWidth="1"/>
    <col min="2314" max="2314" width="12" style="1181" bestFit="1" customWidth="1"/>
    <col min="2315" max="2315" width="14.28515625" style="1181" bestFit="1" customWidth="1"/>
    <col min="2316" max="2316" width="13.5703125" style="1181" bestFit="1" customWidth="1"/>
    <col min="2317" max="2317" width="13.85546875" style="1181" bestFit="1" customWidth="1"/>
    <col min="2318" max="2560" width="9.140625" style="1181"/>
    <col min="2561" max="2561" width="4.42578125" style="1181" customWidth="1"/>
    <col min="2562" max="2562" width="46.85546875" style="1181" customWidth="1"/>
    <col min="2563" max="2563" width="11.28515625" style="1181" bestFit="1" customWidth="1"/>
    <col min="2564" max="2564" width="11.42578125" style="1181" bestFit="1" customWidth="1"/>
    <col min="2565" max="2565" width="11.85546875" style="1181" customWidth="1"/>
    <col min="2566" max="2566" width="10" style="1181" customWidth="1"/>
    <col min="2567" max="2567" width="11.140625" style="1181" customWidth="1"/>
    <col min="2568" max="2568" width="10.28515625" style="1181" bestFit="1" customWidth="1"/>
    <col min="2569" max="2569" width="10.140625" style="1181" bestFit="1" customWidth="1"/>
    <col min="2570" max="2570" width="12" style="1181" bestFit="1" customWidth="1"/>
    <col min="2571" max="2571" width="14.28515625" style="1181" bestFit="1" customWidth="1"/>
    <col min="2572" max="2572" width="13.5703125" style="1181" bestFit="1" customWidth="1"/>
    <col min="2573" max="2573" width="13.85546875" style="1181" bestFit="1" customWidth="1"/>
    <col min="2574" max="2816" width="9.140625" style="1181"/>
    <col min="2817" max="2817" width="4.42578125" style="1181" customWidth="1"/>
    <col min="2818" max="2818" width="46.85546875" style="1181" customWidth="1"/>
    <col min="2819" max="2819" width="11.28515625" style="1181" bestFit="1" customWidth="1"/>
    <col min="2820" max="2820" width="11.42578125" style="1181" bestFit="1" customWidth="1"/>
    <col min="2821" max="2821" width="11.85546875" style="1181" customWidth="1"/>
    <col min="2822" max="2822" width="10" style="1181" customWidth="1"/>
    <col min="2823" max="2823" width="11.140625" style="1181" customWidth="1"/>
    <col min="2824" max="2824" width="10.28515625" style="1181" bestFit="1" customWidth="1"/>
    <col min="2825" max="2825" width="10.140625" style="1181" bestFit="1" customWidth="1"/>
    <col min="2826" max="2826" width="12" style="1181" bestFit="1" customWidth="1"/>
    <col min="2827" max="2827" width="14.28515625" style="1181" bestFit="1" customWidth="1"/>
    <col min="2828" max="2828" width="13.5703125" style="1181" bestFit="1" customWidth="1"/>
    <col min="2829" max="2829" width="13.85546875" style="1181" bestFit="1" customWidth="1"/>
    <col min="2830" max="3072" width="9.140625" style="1181"/>
    <col min="3073" max="3073" width="4.42578125" style="1181" customWidth="1"/>
    <col min="3074" max="3074" width="46.85546875" style="1181" customWidth="1"/>
    <col min="3075" max="3075" width="11.28515625" style="1181" bestFit="1" customWidth="1"/>
    <col min="3076" max="3076" width="11.42578125" style="1181" bestFit="1" customWidth="1"/>
    <col min="3077" max="3077" width="11.85546875" style="1181" customWidth="1"/>
    <col min="3078" max="3078" width="10" style="1181" customWidth="1"/>
    <col min="3079" max="3079" width="11.140625" style="1181" customWidth="1"/>
    <col min="3080" max="3080" width="10.28515625" style="1181" bestFit="1" customWidth="1"/>
    <col min="3081" max="3081" width="10.140625" style="1181" bestFit="1" customWidth="1"/>
    <col min="3082" max="3082" width="12" style="1181" bestFit="1" customWidth="1"/>
    <col min="3083" max="3083" width="14.28515625" style="1181" bestFit="1" customWidth="1"/>
    <col min="3084" max="3084" width="13.5703125" style="1181" bestFit="1" customWidth="1"/>
    <col min="3085" max="3085" width="13.85546875" style="1181" bestFit="1" customWidth="1"/>
    <col min="3086" max="3328" width="9.140625" style="1181"/>
    <col min="3329" max="3329" width="4.42578125" style="1181" customWidth="1"/>
    <col min="3330" max="3330" width="46.85546875" style="1181" customWidth="1"/>
    <col min="3331" max="3331" width="11.28515625" style="1181" bestFit="1" customWidth="1"/>
    <col min="3332" max="3332" width="11.42578125" style="1181" bestFit="1" customWidth="1"/>
    <col min="3333" max="3333" width="11.85546875" style="1181" customWidth="1"/>
    <col min="3334" max="3334" width="10" style="1181" customWidth="1"/>
    <col min="3335" max="3335" width="11.140625" style="1181" customWidth="1"/>
    <col min="3336" max="3336" width="10.28515625" style="1181" bestFit="1" customWidth="1"/>
    <col min="3337" max="3337" width="10.140625" style="1181" bestFit="1" customWidth="1"/>
    <col min="3338" max="3338" width="12" style="1181" bestFit="1" customWidth="1"/>
    <col min="3339" max="3339" width="14.28515625" style="1181" bestFit="1" customWidth="1"/>
    <col min="3340" max="3340" width="13.5703125" style="1181" bestFit="1" customWidth="1"/>
    <col min="3341" max="3341" width="13.85546875" style="1181" bestFit="1" customWidth="1"/>
    <col min="3342" max="3584" width="9.140625" style="1181"/>
    <col min="3585" max="3585" width="4.42578125" style="1181" customWidth="1"/>
    <col min="3586" max="3586" width="46.85546875" style="1181" customWidth="1"/>
    <col min="3587" max="3587" width="11.28515625" style="1181" bestFit="1" customWidth="1"/>
    <col min="3588" max="3588" width="11.42578125" style="1181" bestFit="1" customWidth="1"/>
    <col min="3589" max="3589" width="11.85546875" style="1181" customWidth="1"/>
    <col min="3590" max="3590" width="10" style="1181" customWidth="1"/>
    <col min="3591" max="3591" width="11.140625" style="1181" customWidth="1"/>
    <col min="3592" max="3592" width="10.28515625" style="1181" bestFit="1" customWidth="1"/>
    <col min="3593" max="3593" width="10.140625" style="1181" bestFit="1" customWidth="1"/>
    <col min="3594" max="3594" width="12" style="1181" bestFit="1" customWidth="1"/>
    <col min="3595" max="3595" width="14.28515625" style="1181" bestFit="1" customWidth="1"/>
    <col min="3596" max="3596" width="13.5703125" style="1181" bestFit="1" customWidth="1"/>
    <col min="3597" max="3597" width="13.85546875" style="1181" bestFit="1" customWidth="1"/>
    <col min="3598" max="3840" width="9.140625" style="1181"/>
    <col min="3841" max="3841" width="4.42578125" style="1181" customWidth="1"/>
    <col min="3842" max="3842" width="46.85546875" style="1181" customWidth="1"/>
    <col min="3843" max="3843" width="11.28515625" style="1181" bestFit="1" customWidth="1"/>
    <col min="3844" max="3844" width="11.42578125" style="1181" bestFit="1" customWidth="1"/>
    <col min="3845" max="3845" width="11.85546875" style="1181" customWidth="1"/>
    <col min="3846" max="3846" width="10" style="1181" customWidth="1"/>
    <col min="3847" max="3847" width="11.140625" style="1181" customWidth="1"/>
    <col min="3848" max="3848" width="10.28515625" style="1181" bestFit="1" customWidth="1"/>
    <col min="3849" max="3849" width="10.140625" style="1181" bestFit="1" customWidth="1"/>
    <col min="3850" max="3850" width="12" style="1181" bestFit="1" customWidth="1"/>
    <col min="3851" max="3851" width="14.28515625" style="1181" bestFit="1" customWidth="1"/>
    <col min="3852" max="3852" width="13.5703125" style="1181" bestFit="1" customWidth="1"/>
    <col min="3853" max="3853" width="13.85546875" style="1181" bestFit="1" customWidth="1"/>
    <col min="3854" max="4096" width="9.140625" style="1181"/>
    <col min="4097" max="4097" width="4.42578125" style="1181" customWidth="1"/>
    <col min="4098" max="4098" width="46.85546875" style="1181" customWidth="1"/>
    <col min="4099" max="4099" width="11.28515625" style="1181" bestFit="1" customWidth="1"/>
    <col min="4100" max="4100" width="11.42578125" style="1181" bestFit="1" customWidth="1"/>
    <col min="4101" max="4101" width="11.85546875" style="1181" customWidth="1"/>
    <col min="4102" max="4102" width="10" style="1181" customWidth="1"/>
    <col min="4103" max="4103" width="11.140625" style="1181" customWidth="1"/>
    <col min="4104" max="4104" width="10.28515625" style="1181" bestFit="1" customWidth="1"/>
    <col min="4105" max="4105" width="10.140625" style="1181" bestFit="1" customWidth="1"/>
    <col min="4106" max="4106" width="12" style="1181" bestFit="1" customWidth="1"/>
    <col min="4107" max="4107" width="14.28515625" style="1181" bestFit="1" customWidth="1"/>
    <col min="4108" max="4108" width="13.5703125" style="1181" bestFit="1" customWidth="1"/>
    <col min="4109" max="4109" width="13.85546875" style="1181" bestFit="1" customWidth="1"/>
    <col min="4110" max="4352" width="9.140625" style="1181"/>
    <col min="4353" max="4353" width="4.42578125" style="1181" customWidth="1"/>
    <col min="4354" max="4354" width="46.85546875" style="1181" customWidth="1"/>
    <col min="4355" max="4355" width="11.28515625" style="1181" bestFit="1" customWidth="1"/>
    <col min="4356" max="4356" width="11.42578125" style="1181" bestFit="1" customWidth="1"/>
    <col min="4357" max="4357" width="11.85546875" style="1181" customWidth="1"/>
    <col min="4358" max="4358" width="10" style="1181" customWidth="1"/>
    <col min="4359" max="4359" width="11.140625" style="1181" customWidth="1"/>
    <col min="4360" max="4360" width="10.28515625" style="1181" bestFit="1" customWidth="1"/>
    <col min="4361" max="4361" width="10.140625" style="1181" bestFit="1" customWidth="1"/>
    <col min="4362" max="4362" width="12" style="1181" bestFit="1" customWidth="1"/>
    <col min="4363" max="4363" width="14.28515625" style="1181" bestFit="1" customWidth="1"/>
    <col min="4364" max="4364" width="13.5703125" style="1181" bestFit="1" customWidth="1"/>
    <col min="4365" max="4365" width="13.85546875" style="1181" bestFit="1" customWidth="1"/>
    <col min="4366" max="4608" width="9.140625" style="1181"/>
    <col min="4609" max="4609" width="4.42578125" style="1181" customWidth="1"/>
    <col min="4610" max="4610" width="46.85546875" style="1181" customWidth="1"/>
    <col min="4611" max="4611" width="11.28515625" style="1181" bestFit="1" customWidth="1"/>
    <col min="4612" max="4612" width="11.42578125" style="1181" bestFit="1" customWidth="1"/>
    <col min="4613" max="4613" width="11.85546875" style="1181" customWidth="1"/>
    <col min="4614" max="4614" width="10" style="1181" customWidth="1"/>
    <col min="4615" max="4615" width="11.140625" style="1181" customWidth="1"/>
    <col min="4616" max="4616" width="10.28515625" style="1181" bestFit="1" customWidth="1"/>
    <col min="4617" max="4617" width="10.140625" style="1181" bestFit="1" customWidth="1"/>
    <col min="4618" max="4618" width="12" style="1181" bestFit="1" customWidth="1"/>
    <col min="4619" max="4619" width="14.28515625" style="1181" bestFit="1" customWidth="1"/>
    <col min="4620" max="4620" width="13.5703125" style="1181" bestFit="1" customWidth="1"/>
    <col min="4621" max="4621" width="13.85546875" style="1181" bestFit="1" customWidth="1"/>
    <col min="4622" max="4864" width="9.140625" style="1181"/>
    <col min="4865" max="4865" width="4.42578125" style="1181" customWidth="1"/>
    <col min="4866" max="4866" width="46.85546875" style="1181" customWidth="1"/>
    <col min="4867" max="4867" width="11.28515625" style="1181" bestFit="1" customWidth="1"/>
    <col min="4868" max="4868" width="11.42578125" style="1181" bestFit="1" customWidth="1"/>
    <col min="4869" max="4869" width="11.85546875" style="1181" customWidth="1"/>
    <col min="4870" max="4870" width="10" style="1181" customWidth="1"/>
    <col min="4871" max="4871" width="11.140625" style="1181" customWidth="1"/>
    <col min="4872" max="4872" width="10.28515625" style="1181" bestFit="1" customWidth="1"/>
    <col min="4873" max="4873" width="10.140625" style="1181" bestFit="1" customWidth="1"/>
    <col min="4874" max="4874" width="12" style="1181" bestFit="1" customWidth="1"/>
    <col min="4875" max="4875" width="14.28515625" style="1181" bestFit="1" customWidth="1"/>
    <col min="4876" max="4876" width="13.5703125" style="1181" bestFit="1" customWidth="1"/>
    <col min="4877" max="4877" width="13.85546875" style="1181" bestFit="1" customWidth="1"/>
    <col min="4878" max="5120" width="9.140625" style="1181"/>
    <col min="5121" max="5121" width="4.42578125" style="1181" customWidth="1"/>
    <col min="5122" max="5122" width="46.85546875" style="1181" customWidth="1"/>
    <col min="5123" max="5123" width="11.28515625" style="1181" bestFit="1" customWidth="1"/>
    <col min="5124" max="5124" width="11.42578125" style="1181" bestFit="1" customWidth="1"/>
    <col min="5125" max="5125" width="11.85546875" style="1181" customWidth="1"/>
    <col min="5126" max="5126" width="10" style="1181" customWidth="1"/>
    <col min="5127" max="5127" width="11.140625" style="1181" customWidth="1"/>
    <col min="5128" max="5128" width="10.28515625" style="1181" bestFit="1" customWidth="1"/>
    <col min="5129" max="5129" width="10.140625" style="1181" bestFit="1" customWidth="1"/>
    <col min="5130" max="5130" width="12" style="1181" bestFit="1" customWidth="1"/>
    <col min="5131" max="5131" width="14.28515625" style="1181" bestFit="1" customWidth="1"/>
    <col min="5132" max="5132" width="13.5703125" style="1181" bestFit="1" customWidth="1"/>
    <col min="5133" max="5133" width="13.85546875" style="1181" bestFit="1" customWidth="1"/>
    <col min="5134" max="5376" width="9.140625" style="1181"/>
    <col min="5377" max="5377" width="4.42578125" style="1181" customWidth="1"/>
    <col min="5378" max="5378" width="46.85546875" style="1181" customWidth="1"/>
    <col min="5379" max="5379" width="11.28515625" style="1181" bestFit="1" customWidth="1"/>
    <col min="5380" max="5380" width="11.42578125" style="1181" bestFit="1" customWidth="1"/>
    <col min="5381" max="5381" width="11.85546875" style="1181" customWidth="1"/>
    <col min="5382" max="5382" width="10" style="1181" customWidth="1"/>
    <col min="5383" max="5383" width="11.140625" style="1181" customWidth="1"/>
    <col min="5384" max="5384" width="10.28515625" style="1181" bestFit="1" customWidth="1"/>
    <col min="5385" max="5385" width="10.140625" style="1181" bestFit="1" customWidth="1"/>
    <col min="5386" max="5386" width="12" style="1181" bestFit="1" customWidth="1"/>
    <col min="5387" max="5387" width="14.28515625" style="1181" bestFit="1" customWidth="1"/>
    <col min="5388" max="5388" width="13.5703125" style="1181" bestFit="1" customWidth="1"/>
    <col min="5389" max="5389" width="13.85546875" style="1181" bestFit="1" customWidth="1"/>
    <col min="5390" max="5632" width="9.140625" style="1181"/>
    <col min="5633" max="5633" width="4.42578125" style="1181" customWidth="1"/>
    <col min="5634" max="5634" width="46.85546875" style="1181" customWidth="1"/>
    <col min="5635" max="5635" width="11.28515625" style="1181" bestFit="1" customWidth="1"/>
    <col min="5636" max="5636" width="11.42578125" style="1181" bestFit="1" customWidth="1"/>
    <col min="5637" max="5637" width="11.85546875" style="1181" customWidth="1"/>
    <col min="5638" max="5638" width="10" style="1181" customWidth="1"/>
    <col min="5639" max="5639" width="11.140625" style="1181" customWidth="1"/>
    <col min="5640" max="5640" width="10.28515625" style="1181" bestFit="1" customWidth="1"/>
    <col min="5641" max="5641" width="10.140625" style="1181" bestFit="1" customWidth="1"/>
    <col min="5642" max="5642" width="12" style="1181" bestFit="1" customWidth="1"/>
    <col min="5643" max="5643" width="14.28515625" style="1181" bestFit="1" customWidth="1"/>
    <col min="5644" max="5644" width="13.5703125" style="1181" bestFit="1" customWidth="1"/>
    <col min="5645" max="5645" width="13.85546875" style="1181" bestFit="1" customWidth="1"/>
    <col min="5646" max="5888" width="9.140625" style="1181"/>
    <col min="5889" max="5889" width="4.42578125" style="1181" customWidth="1"/>
    <col min="5890" max="5890" width="46.85546875" style="1181" customWidth="1"/>
    <col min="5891" max="5891" width="11.28515625" style="1181" bestFit="1" customWidth="1"/>
    <col min="5892" max="5892" width="11.42578125" style="1181" bestFit="1" customWidth="1"/>
    <col min="5893" max="5893" width="11.85546875" style="1181" customWidth="1"/>
    <col min="5894" max="5894" width="10" style="1181" customWidth="1"/>
    <col min="5895" max="5895" width="11.140625" style="1181" customWidth="1"/>
    <col min="5896" max="5896" width="10.28515625" style="1181" bestFit="1" customWidth="1"/>
    <col min="5897" max="5897" width="10.140625" style="1181" bestFit="1" customWidth="1"/>
    <col min="5898" max="5898" width="12" style="1181" bestFit="1" customWidth="1"/>
    <col min="5899" max="5899" width="14.28515625" style="1181" bestFit="1" customWidth="1"/>
    <col min="5900" max="5900" width="13.5703125" style="1181" bestFit="1" customWidth="1"/>
    <col min="5901" max="5901" width="13.85546875" style="1181" bestFit="1" customWidth="1"/>
    <col min="5902" max="6144" width="9.140625" style="1181"/>
    <col min="6145" max="6145" width="4.42578125" style="1181" customWidth="1"/>
    <col min="6146" max="6146" width="46.85546875" style="1181" customWidth="1"/>
    <col min="6147" max="6147" width="11.28515625" style="1181" bestFit="1" customWidth="1"/>
    <col min="6148" max="6148" width="11.42578125" style="1181" bestFit="1" customWidth="1"/>
    <col min="6149" max="6149" width="11.85546875" style="1181" customWidth="1"/>
    <col min="6150" max="6150" width="10" style="1181" customWidth="1"/>
    <col min="6151" max="6151" width="11.140625" style="1181" customWidth="1"/>
    <col min="6152" max="6152" width="10.28515625" style="1181" bestFit="1" customWidth="1"/>
    <col min="6153" max="6153" width="10.140625" style="1181" bestFit="1" customWidth="1"/>
    <col min="6154" max="6154" width="12" style="1181" bestFit="1" customWidth="1"/>
    <col min="6155" max="6155" width="14.28515625" style="1181" bestFit="1" customWidth="1"/>
    <col min="6156" max="6156" width="13.5703125" style="1181" bestFit="1" customWidth="1"/>
    <col min="6157" max="6157" width="13.85546875" style="1181" bestFit="1" customWidth="1"/>
    <col min="6158" max="6400" width="9.140625" style="1181"/>
    <col min="6401" max="6401" width="4.42578125" style="1181" customWidth="1"/>
    <col min="6402" max="6402" width="46.85546875" style="1181" customWidth="1"/>
    <col min="6403" max="6403" width="11.28515625" style="1181" bestFit="1" customWidth="1"/>
    <col min="6404" max="6404" width="11.42578125" style="1181" bestFit="1" customWidth="1"/>
    <col min="6405" max="6405" width="11.85546875" style="1181" customWidth="1"/>
    <col min="6406" max="6406" width="10" style="1181" customWidth="1"/>
    <col min="6407" max="6407" width="11.140625" style="1181" customWidth="1"/>
    <col min="6408" max="6408" width="10.28515625" style="1181" bestFit="1" customWidth="1"/>
    <col min="6409" max="6409" width="10.140625" style="1181" bestFit="1" customWidth="1"/>
    <col min="6410" max="6410" width="12" style="1181" bestFit="1" customWidth="1"/>
    <col min="6411" max="6411" width="14.28515625" style="1181" bestFit="1" customWidth="1"/>
    <col min="6412" max="6412" width="13.5703125" style="1181" bestFit="1" customWidth="1"/>
    <col min="6413" max="6413" width="13.85546875" style="1181" bestFit="1" customWidth="1"/>
    <col min="6414" max="6656" width="9.140625" style="1181"/>
    <col min="6657" max="6657" width="4.42578125" style="1181" customWidth="1"/>
    <col min="6658" max="6658" width="46.85546875" style="1181" customWidth="1"/>
    <col min="6659" max="6659" width="11.28515625" style="1181" bestFit="1" customWidth="1"/>
    <col min="6660" max="6660" width="11.42578125" style="1181" bestFit="1" customWidth="1"/>
    <col min="6661" max="6661" width="11.85546875" style="1181" customWidth="1"/>
    <col min="6662" max="6662" width="10" style="1181" customWidth="1"/>
    <col min="6663" max="6663" width="11.140625" style="1181" customWidth="1"/>
    <col min="6664" max="6664" width="10.28515625" style="1181" bestFit="1" customWidth="1"/>
    <col min="6665" max="6665" width="10.140625" style="1181" bestFit="1" customWidth="1"/>
    <col min="6666" max="6666" width="12" style="1181" bestFit="1" customWidth="1"/>
    <col min="6667" max="6667" width="14.28515625" style="1181" bestFit="1" customWidth="1"/>
    <col min="6668" max="6668" width="13.5703125" style="1181" bestFit="1" customWidth="1"/>
    <col min="6669" max="6669" width="13.85546875" style="1181" bestFit="1" customWidth="1"/>
    <col min="6670" max="6912" width="9.140625" style="1181"/>
    <col min="6913" max="6913" width="4.42578125" style="1181" customWidth="1"/>
    <col min="6914" max="6914" width="46.85546875" style="1181" customWidth="1"/>
    <col min="6915" max="6915" width="11.28515625" style="1181" bestFit="1" customWidth="1"/>
    <col min="6916" max="6916" width="11.42578125" style="1181" bestFit="1" customWidth="1"/>
    <col min="6917" max="6917" width="11.85546875" style="1181" customWidth="1"/>
    <col min="6918" max="6918" width="10" style="1181" customWidth="1"/>
    <col min="6919" max="6919" width="11.140625" style="1181" customWidth="1"/>
    <col min="6920" max="6920" width="10.28515625" style="1181" bestFit="1" customWidth="1"/>
    <col min="6921" max="6921" width="10.140625" style="1181" bestFit="1" customWidth="1"/>
    <col min="6922" max="6922" width="12" style="1181" bestFit="1" customWidth="1"/>
    <col min="6923" max="6923" width="14.28515625" style="1181" bestFit="1" customWidth="1"/>
    <col min="6924" max="6924" width="13.5703125" style="1181" bestFit="1" customWidth="1"/>
    <col min="6925" max="6925" width="13.85546875" style="1181" bestFit="1" customWidth="1"/>
    <col min="6926" max="7168" width="9.140625" style="1181"/>
    <col min="7169" max="7169" width="4.42578125" style="1181" customWidth="1"/>
    <col min="7170" max="7170" width="46.85546875" style="1181" customWidth="1"/>
    <col min="7171" max="7171" width="11.28515625" style="1181" bestFit="1" customWidth="1"/>
    <col min="7172" max="7172" width="11.42578125" style="1181" bestFit="1" customWidth="1"/>
    <col min="7173" max="7173" width="11.85546875" style="1181" customWidth="1"/>
    <col min="7174" max="7174" width="10" style="1181" customWidth="1"/>
    <col min="7175" max="7175" width="11.140625" style="1181" customWidth="1"/>
    <col min="7176" max="7176" width="10.28515625" style="1181" bestFit="1" customWidth="1"/>
    <col min="7177" max="7177" width="10.140625" style="1181" bestFit="1" customWidth="1"/>
    <col min="7178" max="7178" width="12" style="1181" bestFit="1" customWidth="1"/>
    <col min="7179" max="7179" width="14.28515625" style="1181" bestFit="1" customWidth="1"/>
    <col min="7180" max="7180" width="13.5703125" style="1181" bestFit="1" customWidth="1"/>
    <col min="7181" max="7181" width="13.85546875" style="1181" bestFit="1" customWidth="1"/>
    <col min="7182" max="7424" width="9.140625" style="1181"/>
    <col min="7425" max="7425" width="4.42578125" style="1181" customWidth="1"/>
    <col min="7426" max="7426" width="46.85546875" style="1181" customWidth="1"/>
    <col min="7427" max="7427" width="11.28515625" style="1181" bestFit="1" customWidth="1"/>
    <col min="7428" max="7428" width="11.42578125" style="1181" bestFit="1" customWidth="1"/>
    <col min="7429" max="7429" width="11.85546875" style="1181" customWidth="1"/>
    <col min="7430" max="7430" width="10" style="1181" customWidth="1"/>
    <col min="7431" max="7431" width="11.140625" style="1181" customWidth="1"/>
    <col min="7432" max="7432" width="10.28515625" style="1181" bestFit="1" customWidth="1"/>
    <col min="7433" max="7433" width="10.140625" style="1181" bestFit="1" customWidth="1"/>
    <col min="7434" max="7434" width="12" style="1181" bestFit="1" customWidth="1"/>
    <col min="7435" max="7435" width="14.28515625" style="1181" bestFit="1" customWidth="1"/>
    <col min="7436" max="7436" width="13.5703125" style="1181" bestFit="1" customWidth="1"/>
    <col min="7437" max="7437" width="13.85546875" style="1181" bestFit="1" customWidth="1"/>
    <col min="7438" max="7680" width="9.140625" style="1181"/>
    <col min="7681" max="7681" width="4.42578125" style="1181" customWidth="1"/>
    <col min="7682" max="7682" width="46.85546875" style="1181" customWidth="1"/>
    <col min="7683" max="7683" width="11.28515625" style="1181" bestFit="1" customWidth="1"/>
    <col min="7684" max="7684" width="11.42578125" style="1181" bestFit="1" customWidth="1"/>
    <col min="7685" max="7685" width="11.85546875" style="1181" customWidth="1"/>
    <col min="7686" max="7686" width="10" style="1181" customWidth="1"/>
    <col min="7687" max="7687" width="11.140625" style="1181" customWidth="1"/>
    <col min="7688" max="7688" width="10.28515625" style="1181" bestFit="1" customWidth="1"/>
    <col min="7689" max="7689" width="10.140625" style="1181" bestFit="1" customWidth="1"/>
    <col min="7690" max="7690" width="12" style="1181" bestFit="1" customWidth="1"/>
    <col min="7691" max="7691" width="14.28515625" style="1181" bestFit="1" customWidth="1"/>
    <col min="7692" max="7692" width="13.5703125" style="1181" bestFit="1" customWidth="1"/>
    <col min="7693" max="7693" width="13.85546875" style="1181" bestFit="1" customWidth="1"/>
    <col min="7694" max="7936" width="9.140625" style="1181"/>
    <col min="7937" max="7937" width="4.42578125" style="1181" customWidth="1"/>
    <col min="7938" max="7938" width="46.85546875" style="1181" customWidth="1"/>
    <col min="7939" max="7939" width="11.28515625" style="1181" bestFit="1" customWidth="1"/>
    <col min="7940" max="7940" width="11.42578125" style="1181" bestFit="1" customWidth="1"/>
    <col min="7941" max="7941" width="11.85546875" style="1181" customWidth="1"/>
    <col min="7942" max="7942" width="10" style="1181" customWidth="1"/>
    <col min="7943" max="7943" width="11.140625" style="1181" customWidth="1"/>
    <col min="7944" max="7944" width="10.28515625" style="1181" bestFit="1" customWidth="1"/>
    <col min="7945" max="7945" width="10.140625" style="1181" bestFit="1" customWidth="1"/>
    <col min="7946" max="7946" width="12" style="1181" bestFit="1" customWidth="1"/>
    <col min="7947" max="7947" width="14.28515625" style="1181" bestFit="1" customWidth="1"/>
    <col min="7948" max="7948" width="13.5703125" style="1181" bestFit="1" customWidth="1"/>
    <col min="7949" max="7949" width="13.85546875" style="1181" bestFit="1" customWidth="1"/>
    <col min="7950" max="8192" width="9.140625" style="1181"/>
    <col min="8193" max="8193" width="4.42578125" style="1181" customWidth="1"/>
    <col min="8194" max="8194" width="46.85546875" style="1181" customWidth="1"/>
    <col min="8195" max="8195" width="11.28515625" style="1181" bestFit="1" customWidth="1"/>
    <col min="8196" max="8196" width="11.42578125" style="1181" bestFit="1" customWidth="1"/>
    <col min="8197" max="8197" width="11.85546875" style="1181" customWidth="1"/>
    <col min="8198" max="8198" width="10" style="1181" customWidth="1"/>
    <col min="8199" max="8199" width="11.140625" style="1181" customWidth="1"/>
    <col min="8200" max="8200" width="10.28515625" style="1181" bestFit="1" customWidth="1"/>
    <col min="8201" max="8201" width="10.140625" style="1181" bestFit="1" customWidth="1"/>
    <col min="8202" max="8202" width="12" style="1181" bestFit="1" customWidth="1"/>
    <col min="8203" max="8203" width="14.28515625" style="1181" bestFit="1" customWidth="1"/>
    <col min="8204" max="8204" width="13.5703125" style="1181" bestFit="1" customWidth="1"/>
    <col min="8205" max="8205" width="13.85546875" style="1181" bestFit="1" customWidth="1"/>
    <col min="8206" max="8448" width="9.140625" style="1181"/>
    <col min="8449" max="8449" width="4.42578125" style="1181" customWidth="1"/>
    <col min="8450" max="8450" width="46.85546875" style="1181" customWidth="1"/>
    <col min="8451" max="8451" width="11.28515625" style="1181" bestFit="1" customWidth="1"/>
    <col min="8452" max="8452" width="11.42578125" style="1181" bestFit="1" customWidth="1"/>
    <col min="8453" max="8453" width="11.85546875" style="1181" customWidth="1"/>
    <col min="8454" max="8454" width="10" style="1181" customWidth="1"/>
    <col min="8455" max="8455" width="11.140625" style="1181" customWidth="1"/>
    <col min="8456" max="8456" width="10.28515625" style="1181" bestFit="1" customWidth="1"/>
    <col min="8457" max="8457" width="10.140625" style="1181" bestFit="1" customWidth="1"/>
    <col min="8458" max="8458" width="12" style="1181" bestFit="1" customWidth="1"/>
    <col min="8459" max="8459" width="14.28515625" style="1181" bestFit="1" customWidth="1"/>
    <col min="8460" max="8460" width="13.5703125" style="1181" bestFit="1" customWidth="1"/>
    <col min="8461" max="8461" width="13.85546875" style="1181" bestFit="1" customWidth="1"/>
    <col min="8462" max="8704" width="9.140625" style="1181"/>
    <col min="8705" max="8705" width="4.42578125" style="1181" customWidth="1"/>
    <col min="8706" max="8706" width="46.85546875" style="1181" customWidth="1"/>
    <col min="8707" max="8707" width="11.28515625" style="1181" bestFit="1" customWidth="1"/>
    <col min="8708" max="8708" width="11.42578125" style="1181" bestFit="1" customWidth="1"/>
    <col min="8709" max="8709" width="11.85546875" style="1181" customWidth="1"/>
    <col min="8710" max="8710" width="10" style="1181" customWidth="1"/>
    <col min="8711" max="8711" width="11.140625" style="1181" customWidth="1"/>
    <col min="8712" max="8712" width="10.28515625" style="1181" bestFit="1" customWidth="1"/>
    <col min="8713" max="8713" width="10.140625" style="1181" bestFit="1" customWidth="1"/>
    <col min="8714" max="8714" width="12" style="1181" bestFit="1" customWidth="1"/>
    <col min="8715" max="8715" width="14.28515625" style="1181" bestFit="1" customWidth="1"/>
    <col min="8716" max="8716" width="13.5703125" style="1181" bestFit="1" customWidth="1"/>
    <col min="8717" max="8717" width="13.85546875" style="1181" bestFit="1" customWidth="1"/>
    <col min="8718" max="8960" width="9.140625" style="1181"/>
    <col min="8961" max="8961" width="4.42578125" style="1181" customWidth="1"/>
    <col min="8962" max="8962" width="46.85546875" style="1181" customWidth="1"/>
    <col min="8963" max="8963" width="11.28515625" style="1181" bestFit="1" customWidth="1"/>
    <col min="8964" max="8964" width="11.42578125" style="1181" bestFit="1" customWidth="1"/>
    <col min="8965" max="8965" width="11.85546875" style="1181" customWidth="1"/>
    <col min="8966" max="8966" width="10" style="1181" customWidth="1"/>
    <col min="8967" max="8967" width="11.140625" style="1181" customWidth="1"/>
    <col min="8968" max="8968" width="10.28515625" style="1181" bestFit="1" customWidth="1"/>
    <col min="8969" max="8969" width="10.140625" style="1181" bestFit="1" customWidth="1"/>
    <col min="8970" max="8970" width="12" style="1181" bestFit="1" customWidth="1"/>
    <col min="8971" max="8971" width="14.28515625" style="1181" bestFit="1" customWidth="1"/>
    <col min="8972" max="8972" width="13.5703125" style="1181" bestFit="1" customWidth="1"/>
    <col min="8973" max="8973" width="13.85546875" style="1181" bestFit="1" customWidth="1"/>
    <col min="8974" max="9216" width="9.140625" style="1181"/>
    <col min="9217" max="9217" width="4.42578125" style="1181" customWidth="1"/>
    <col min="9218" max="9218" width="46.85546875" style="1181" customWidth="1"/>
    <col min="9219" max="9219" width="11.28515625" style="1181" bestFit="1" customWidth="1"/>
    <col min="9220" max="9220" width="11.42578125" style="1181" bestFit="1" customWidth="1"/>
    <col min="9221" max="9221" width="11.85546875" style="1181" customWidth="1"/>
    <col min="9222" max="9222" width="10" style="1181" customWidth="1"/>
    <col min="9223" max="9223" width="11.140625" style="1181" customWidth="1"/>
    <col min="9224" max="9224" width="10.28515625" style="1181" bestFit="1" customWidth="1"/>
    <col min="9225" max="9225" width="10.140625" style="1181" bestFit="1" customWidth="1"/>
    <col min="9226" max="9226" width="12" style="1181" bestFit="1" customWidth="1"/>
    <col min="9227" max="9227" width="14.28515625" style="1181" bestFit="1" customWidth="1"/>
    <col min="9228" max="9228" width="13.5703125" style="1181" bestFit="1" customWidth="1"/>
    <col min="9229" max="9229" width="13.85546875" style="1181" bestFit="1" customWidth="1"/>
    <col min="9230" max="9472" width="9.140625" style="1181"/>
    <col min="9473" max="9473" width="4.42578125" style="1181" customWidth="1"/>
    <col min="9474" max="9474" width="46.85546875" style="1181" customWidth="1"/>
    <col min="9475" max="9475" width="11.28515625" style="1181" bestFit="1" customWidth="1"/>
    <col min="9476" max="9476" width="11.42578125" style="1181" bestFit="1" customWidth="1"/>
    <col min="9477" max="9477" width="11.85546875" style="1181" customWidth="1"/>
    <col min="9478" max="9478" width="10" style="1181" customWidth="1"/>
    <col min="9479" max="9479" width="11.140625" style="1181" customWidth="1"/>
    <col min="9480" max="9480" width="10.28515625" style="1181" bestFit="1" customWidth="1"/>
    <col min="9481" max="9481" width="10.140625" style="1181" bestFit="1" customWidth="1"/>
    <col min="9482" max="9482" width="12" style="1181" bestFit="1" customWidth="1"/>
    <col min="9483" max="9483" width="14.28515625" style="1181" bestFit="1" customWidth="1"/>
    <col min="9484" max="9484" width="13.5703125" style="1181" bestFit="1" customWidth="1"/>
    <col min="9485" max="9485" width="13.85546875" style="1181" bestFit="1" customWidth="1"/>
    <col min="9486" max="9728" width="9.140625" style="1181"/>
    <col min="9729" max="9729" width="4.42578125" style="1181" customWidth="1"/>
    <col min="9730" max="9730" width="46.85546875" style="1181" customWidth="1"/>
    <col min="9731" max="9731" width="11.28515625" style="1181" bestFit="1" customWidth="1"/>
    <col min="9732" max="9732" width="11.42578125" style="1181" bestFit="1" customWidth="1"/>
    <col min="9733" max="9733" width="11.85546875" style="1181" customWidth="1"/>
    <col min="9734" max="9734" width="10" style="1181" customWidth="1"/>
    <col min="9735" max="9735" width="11.140625" style="1181" customWidth="1"/>
    <col min="9736" max="9736" width="10.28515625" style="1181" bestFit="1" customWidth="1"/>
    <col min="9737" max="9737" width="10.140625" style="1181" bestFit="1" customWidth="1"/>
    <col min="9738" max="9738" width="12" style="1181" bestFit="1" customWidth="1"/>
    <col min="9739" max="9739" width="14.28515625" style="1181" bestFit="1" customWidth="1"/>
    <col min="9740" max="9740" width="13.5703125" style="1181" bestFit="1" customWidth="1"/>
    <col min="9741" max="9741" width="13.85546875" style="1181" bestFit="1" customWidth="1"/>
    <col min="9742" max="9984" width="9.140625" style="1181"/>
    <col min="9985" max="9985" width="4.42578125" style="1181" customWidth="1"/>
    <col min="9986" max="9986" width="46.85546875" style="1181" customWidth="1"/>
    <col min="9987" max="9987" width="11.28515625" style="1181" bestFit="1" customWidth="1"/>
    <col min="9988" max="9988" width="11.42578125" style="1181" bestFit="1" customWidth="1"/>
    <col min="9989" max="9989" width="11.85546875" style="1181" customWidth="1"/>
    <col min="9990" max="9990" width="10" style="1181" customWidth="1"/>
    <col min="9991" max="9991" width="11.140625" style="1181" customWidth="1"/>
    <col min="9992" max="9992" width="10.28515625" style="1181" bestFit="1" customWidth="1"/>
    <col min="9993" max="9993" width="10.140625" style="1181" bestFit="1" customWidth="1"/>
    <col min="9994" max="9994" width="12" style="1181" bestFit="1" customWidth="1"/>
    <col min="9995" max="9995" width="14.28515625" style="1181" bestFit="1" customWidth="1"/>
    <col min="9996" max="9996" width="13.5703125" style="1181" bestFit="1" customWidth="1"/>
    <col min="9997" max="9997" width="13.85546875" style="1181" bestFit="1" customWidth="1"/>
    <col min="9998" max="10240" width="9.140625" style="1181"/>
    <col min="10241" max="10241" width="4.42578125" style="1181" customWidth="1"/>
    <col min="10242" max="10242" width="46.85546875" style="1181" customWidth="1"/>
    <col min="10243" max="10243" width="11.28515625" style="1181" bestFit="1" customWidth="1"/>
    <col min="10244" max="10244" width="11.42578125" style="1181" bestFit="1" customWidth="1"/>
    <col min="10245" max="10245" width="11.85546875" style="1181" customWidth="1"/>
    <col min="10246" max="10246" width="10" style="1181" customWidth="1"/>
    <col min="10247" max="10247" width="11.140625" style="1181" customWidth="1"/>
    <col min="10248" max="10248" width="10.28515625" style="1181" bestFit="1" customWidth="1"/>
    <col min="10249" max="10249" width="10.140625" style="1181" bestFit="1" customWidth="1"/>
    <col min="10250" max="10250" width="12" style="1181" bestFit="1" customWidth="1"/>
    <col min="10251" max="10251" width="14.28515625" style="1181" bestFit="1" customWidth="1"/>
    <col min="10252" max="10252" width="13.5703125" style="1181" bestFit="1" customWidth="1"/>
    <col min="10253" max="10253" width="13.85546875" style="1181" bestFit="1" customWidth="1"/>
    <col min="10254" max="10496" width="9.140625" style="1181"/>
    <col min="10497" max="10497" width="4.42578125" style="1181" customWidth="1"/>
    <col min="10498" max="10498" width="46.85546875" style="1181" customWidth="1"/>
    <col min="10499" max="10499" width="11.28515625" style="1181" bestFit="1" customWidth="1"/>
    <col min="10500" max="10500" width="11.42578125" style="1181" bestFit="1" customWidth="1"/>
    <col min="10501" max="10501" width="11.85546875" style="1181" customWidth="1"/>
    <col min="10502" max="10502" width="10" style="1181" customWidth="1"/>
    <col min="10503" max="10503" width="11.140625" style="1181" customWidth="1"/>
    <col min="10504" max="10504" width="10.28515625" style="1181" bestFit="1" customWidth="1"/>
    <col min="10505" max="10505" width="10.140625" style="1181" bestFit="1" customWidth="1"/>
    <col min="10506" max="10506" width="12" style="1181" bestFit="1" customWidth="1"/>
    <col min="10507" max="10507" width="14.28515625" style="1181" bestFit="1" customWidth="1"/>
    <col min="10508" max="10508" width="13.5703125" style="1181" bestFit="1" customWidth="1"/>
    <col min="10509" max="10509" width="13.85546875" style="1181" bestFit="1" customWidth="1"/>
    <col min="10510" max="10752" width="9.140625" style="1181"/>
    <col min="10753" max="10753" width="4.42578125" style="1181" customWidth="1"/>
    <col min="10754" max="10754" width="46.85546875" style="1181" customWidth="1"/>
    <col min="10755" max="10755" width="11.28515625" style="1181" bestFit="1" customWidth="1"/>
    <col min="10756" max="10756" width="11.42578125" style="1181" bestFit="1" customWidth="1"/>
    <col min="10757" max="10757" width="11.85546875" style="1181" customWidth="1"/>
    <col min="10758" max="10758" width="10" style="1181" customWidth="1"/>
    <col min="10759" max="10759" width="11.140625" style="1181" customWidth="1"/>
    <col min="10760" max="10760" width="10.28515625" style="1181" bestFit="1" customWidth="1"/>
    <col min="10761" max="10761" width="10.140625" style="1181" bestFit="1" customWidth="1"/>
    <col min="10762" max="10762" width="12" style="1181" bestFit="1" customWidth="1"/>
    <col min="10763" max="10763" width="14.28515625" style="1181" bestFit="1" customWidth="1"/>
    <col min="10764" max="10764" width="13.5703125" style="1181" bestFit="1" customWidth="1"/>
    <col min="10765" max="10765" width="13.85546875" style="1181" bestFit="1" customWidth="1"/>
    <col min="10766" max="11008" width="9.140625" style="1181"/>
    <col min="11009" max="11009" width="4.42578125" style="1181" customWidth="1"/>
    <col min="11010" max="11010" width="46.85546875" style="1181" customWidth="1"/>
    <col min="11011" max="11011" width="11.28515625" style="1181" bestFit="1" customWidth="1"/>
    <col min="11012" max="11012" width="11.42578125" style="1181" bestFit="1" customWidth="1"/>
    <col min="11013" max="11013" width="11.85546875" style="1181" customWidth="1"/>
    <col min="11014" max="11014" width="10" style="1181" customWidth="1"/>
    <col min="11015" max="11015" width="11.140625" style="1181" customWidth="1"/>
    <col min="11016" max="11016" width="10.28515625" style="1181" bestFit="1" customWidth="1"/>
    <col min="11017" max="11017" width="10.140625" style="1181" bestFit="1" customWidth="1"/>
    <col min="11018" max="11018" width="12" style="1181" bestFit="1" customWidth="1"/>
    <col min="11019" max="11019" width="14.28515625" style="1181" bestFit="1" customWidth="1"/>
    <col min="11020" max="11020" width="13.5703125" style="1181" bestFit="1" customWidth="1"/>
    <col min="11021" max="11021" width="13.85546875" style="1181" bestFit="1" customWidth="1"/>
    <col min="11022" max="11264" width="9.140625" style="1181"/>
    <col min="11265" max="11265" width="4.42578125" style="1181" customWidth="1"/>
    <col min="11266" max="11266" width="46.85546875" style="1181" customWidth="1"/>
    <col min="11267" max="11267" width="11.28515625" style="1181" bestFit="1" customWidth="1"/>
    <col min="11268" max="11268" width="11.42578125" style="1181" bestFit="1" customWidth="1"/>
    <col min="11269" max="11269" width="11.85546875" style="1181" customWidth="1"/>
    <col min="11270" max="11270" width="10" style="1181" customWidth="1"/>
    <col min="11271" max="11271" width="11.140625" style="1181" customWidth="1"/>
    <col min="11272" max="11272" width="10.28515625" style="1181" bestFit="1" customWidth="1"/>
    <col min="11273" max="11273" width="10.140625" style="1181" bestFit="1" customWidth="1"/>
    <col min="11274" max="11274" width="12" style="1181" bestFit="1" customWidth="1"/>
    <col min="11275" max="11275" width="14.28515625" style="1181" bestFit="1" customWidth="1"/>
    <col min="11276" max="11276" width="13.5703125" style="1181" bestFit="1" customWidth="1"/>
    <col min="11277" max="11277" width="13.85546875" style="1181" bestFit="1" customWidth="1"/>
    <col min="11278" max="11520" width="9.140625" style="1181"/>
    <col min="11521" max="11521" width="4.42578125" style="1181" customWidth="1"/>
    <col min="11522" max="11522" width="46.85546875" style="1181" customWidth="1"/>
    <col min="11523" max="11523" width="11.28515625" style="1181" bestFit="1" customWidth="1"/>
    <col min="11524" max="11524" width="11.42578125" style="1181" bestFit="1" customWidth="1"/>
    <col min="11525" max="11525" width="11.85546875" style="1181" customWidth="1"/>
    <col min="11526" max="11526" width="10" style="1181" customWidth="1"/>
    <col min="11527" max="11527" width="11.140625" style="1181" customWidth="1"/>
    <col min="11528" max="11528" width="10.28515625" style="1181" bestFit="1" customWidth="1"/>
    <col min="11529" max="11529" width="10.140625" style="1181" bestFit="1" customWidth="1"/>
    <col min="11530" max="11530" width="12" style="1181" bestFit="1" customWidth="1"/>
    <col min="11531" max="11531" width="14.28515625" style="1181" bestFit="1" customWidth="1"/>
    <col min="11532" max="11532" width="13.5703125" style="1181" bestFit="1" customWidth="1"/>
    <col min="11533" max="11533" width="13.85546875" style="1181" bestFit="1" customWidth="1"/>
    <col min="11534" max="11776" width="9.140625" style="1181"/>
    <col min="11777" max="11777" width="4.42578125" style="1181" customWidth="1"/>
    <col min="11778" max="11778" width="46.85546875" style="1181" customWidth="1"/>
    <col min="11779" max="11779" width="11.28515625" style="1181" bestFit="1" customWidth="1"/>
    <col min="11780" max="11780" width="11.42578125" style="1181" bestFit="1" customWidth="1"/>
    <col min="11781" max="11781" width="11.85546875" style="1181" customWidth="1"/>
    <col min="11782" max="11782" width="10" style="1181" customWidth="1"/>
    <col min="11783" max="11783" width="11.140625" style="1181" customWidth="1"/>
    <col min="11784" max="11784" width="10.28515625" style="1181" bestFit="1" customWidth="1"/>
    <col min="11785" max="11785" width="10.140625" style="1181" bestFit="1" customWidth="1"/>
    <col min="11786" max="11786" width="12" style="1181" bestFit="1" customWidth="1"/>
    <col min="11787" max="11787" width="14.28515625" style="1181" bestFit="1" customWidth="1"/>
    <col min="11788" max="11788" width="13.5703125" style="1181" bestFit="1" customWidth="1"/>
    <col min="11789" max="11789" width="13.85546875" style="1181" bestFit="1" customWidth="1"/>
    <col min="11790" max="12032" width="9.140625" style="1181"/>
    <col min="12033" max="12033" width="4.42578125" style="1181" customWidth="1"/>
    <col min="12034" max="12034" width="46.85546875" style="1181" customWidth="1"/>
    <col min="12035" max="12035" width="11.28515625" style="1181" bestFit="1" customWidth="1"/>
    <col min="12036" max="12036" width="11.42578125" style="1181" bestFit="1" customWidth="1"/>
    <col min="12037" max="12037" width="11.85546875" style="1181" customWidth="1"/>
    <col min="12038" max="12038" width="10" style="1181" customWidth="1"/>
    <col min="12039" max="12039" width="11.140625" style="1181" customWidth="1"/>
    <col min="12040" max="12040" width="10.28515625" style="1181" bestFit="1" customWidth="1"/>
    <col min="12041" max="12041" width="10.140625" style="1181" bestFit="1" customWidth="1"/>
    <col min="12042" max="12042" width="12" style="1181" bestFit="1" customWidth="1"/>
    <col min="12043" max="12043" width="14.28515625" style="1181" bestFit="1" customWidth="1"/>
    <col min="12044" max="12044" width="13.5703125" style="1181" bestFit="1" customWidth="1"/>
    <col min="12045" max="12045" width="13.85546875" style="1181" bestFit="1" customWidth="1"/>
    <col min="12046" max="12288" width="9.140625" style="1181"/>
    <col min="12289" max="12289" width="4.42578125" style="1181" customWidth="1"/>
    <col min="12290" max="12290" width="46.85546875" style="1181" customWidth="1"/>
    <col min="12291" max="12291" width="11.28515625" style="1181" bestFit="1" customWidth="1"/>
    <col min="12292" max="12292" width="11.42578125" style="1181" bestFit="1" customWidth="1"/>
    <col min="12293" max="12293" width="11.85546875" style="1181" customWidth="1"/>
    <col min="12294" max="12294" width="10" style="1181" customWidth="1"/>
    <col min="12295" max="12295" width="11.140625" style="1181" customWidth="1"/>
    <col min="12296" max="12296" width="10.28515625" style="1181" bestFit="1" customWidth="1"/>
    <col min="12297" max="12297" width="10.140625" style="1181" bestFit="1" customWidth="1"/>
    <col min="12298" max="12298" width="12" style="1181" bestFit="1" customWidth="1"/>
    <col min="12299" max="12299" width="14.28515625" style="1181" bestFit="1" customWidth="1"/>
    <col min="12300" max="12300" width="13.5703125" style="1181" bestFit="1" customWidth="1"/>
    <col min="12301" max="12301" width="13.85546875" style="1181" bestFit="1" customWidth="1"/>
    <col min="12302" max="12544" width="9.140625" style="1181"/>
    <col min="12545" max="12545" width="4.42578125" style="1181" customWidth="1"/>
    <col min="12546" max="12546" width="46.85546875" style="1181" customWidth="1"/>
    <col min="12547" max="12547" width="11.28515625" style="1181" bestFit="1" customWidth="1"/>
    <col min="12548" max="12548" width="11.42578125" style="1181" bestFit="1" customWidth="1"/>
    <col min="12549" max="12549" width="11.85546875" style="1181" customWidth="1"/>
    <col min="12550" max="12550" width="10" style="1181" customWidth="1"/>
    <col min="12551" max="12551" width="11.140625" style="1181" customWidth="1"/>
    <col min="12552" max="12552" width="10.28515625" style="1181" bestFit="1" customWidth="1"/>
    <col min="12553" max="12553" width="10.140625" style="1181" bestFit="1" customWidth="1"/>
    <col min="12554" max="12554" width="12" style="1181" bestFit="1" customWidth="1"/>
    <col min="12555" max="12555" width="14.28515625" style="1181" bestFit="1" customWidth="1"/>
    <col min="12556" max="12556" width="13.5703125" style="1181" bestFit="1" customWidth="1"/>
    <col min="12557" max="12557" width="13.85546875" style="1181" bestFit="1" customWidth="1"/>
    <col min="12558" max="12800" width="9.140625" style="1181"/>
    <col min="12801" max="12801" width="4.42578125" style="1181" customWidth="1"/>
    <col min="12802" max="12802" width="46.85546875" style="1181" customWidth="1"/>
    <col min="12803" max="12803" width="11.28515625" style="1181" bestFit="1" customWidth="1"/>
    <col min="12804" max="12804" width="11.42578125" style="1181" bestFit="1" customWidth="1"/>
    <col min="12805" max="12805" width="11.85546875" style="1181" customWidth="1"/>
    <col min="12806" max="12806" width="10" style="1181" customWidth="1"/>
    <col min="12807" max="12807" width="11.140625" style="1181" customWidth="1"/>
    <col min="12808" max="12808" width="10.28515625" style="1181" bestFit="1" customWidth="1"/>
    <col min="12809" max="12809" width="10.140625" style="1181" bestFit="1" customWidth="1"/>
    <col min="12810" max="12810" width="12" style="1181" bestFit="1" customWidth="1"/>
    <col min="12811" max="12811" width="14.28515625" style="1181" bestFit="1" customWidth="1"/>
    <col min="12812" max="12812" width="13.5703125" style="1181" bestFit="1" customWidth="1"/>
    <col min="12813" max="12813" width="13.85546875" style="1181" bestFit="1" customWidth="1"/>
    <col min="12814" max="13056" width="9.140625" style="1181"/>
    <col min="13057" max="13057" width="4.42578125" style="1181" customWidth="1"/>
    <col min="13058" max="13058" width="46.85546875" style="1181" customWidth="1"/>
    <col min="13059" max="13059" width="11.28515625" style="1181" bestFit="1" customWidth="1"/>
    <col min="13060" max="13060" width="11.42578125" style="1181" bestFit="1" customWidth="1"/>
    <col min="13061" max="13061" width="11.85546875" style="1181" customWidth="1"/>
    <col min="13062" max="13062" width="10" style="1181" customWidth="1"/>
    <col min="13063" max="13063" width="11.140625" style="1181" customWidth="1"/>
    <col min="13064" max="13064" width="10.28515625" style="1181" bestFit="1" customWidth="1"/>
    <col min="13065" max="13065" width="10.140625" style="1181" bestFit="1" customWidth="1"/>
    <col min="13066" max="13066" width="12" style="1181" bestFit="1" customWidth="1"/>
    <col min="13067" max="13067" width="14.28515625" style="1181" bestFit="1" customWidth="1"/>
    <col min="13068" max="13068" width="13.5703125" style="1181" bestFit="1" customWidth="1"/>
    <col min="13069" max="13069" width="13.85546875" style="1181" bestFit="1" customWidth="1"/>
    <col min="13070" max="13312" width="9.140625" style="1181"/>
    <col min="13313" max="13313" width="4.42578125" style="1181" customWidth="1"/>
    <col min="13314" max="13314" width="46.85546875" style="1181" customWidth="1"/>
    <col min="13315" max="13315" width="11.28515625" style="1181" bestFit="1" customWidth="1"/>
    <col min="13316" max="13316" width="11.42578125" style="1181" bestFit="1" customWidth="1"/>
    <col min="13317" max="13317" width="11.85546875" style="1181" customWidth="1"/>
    <col min="13318" max="13318" width="10" style="1181" customWidth="1"/>
    <col min="13319" max="13319" width="11.140625" style="1181" customWidth="1"/>
    <col min="13320" max="13320" width="10.28515625" style="1181" bestFit="1" customWidth="1"/>
    <col min="13321" max="13321" width="10.140625" style="1181" bestFit="1" customWidth="1"/>
    <col min="13322" max="13322" width="12" style="1181" bestFit="1" customWidth="1"/>
    <col min="13323" max="13323" width="14.28515625" style="1181" bestFit="1" customWidth="1"/>
    <col min="13324" max="13324" width="13.5703125" style="1181" bestFit="1" customWidth="1"/>
    <col min="13325" max="13325" width="13.85546875" style="1181" bestFit="1" customWidth="1"/>
    <col min="13326" max="13568" width="9.140625" style="1181"/>
    <col min="13569" max="13569" width="4.42578125" style="1181" customWidth="1"/>
    <col min="13570" max="13570" width="46.85546875" style="1181" customWidth="1"/>
    <col min="13571" max="13571" width="11.28515625" style="1181" bestFit="1" customWidth="1"/>
    <col min="13572" max="13572" width="11.42578125" style="1181" bestFit="1" customWidth="1"/>
    <col min="13573" max="13573" width="11.85546875" style="1181" customWidth="1"/>
    <col min="13574" max="13574" width="10" style="1181" customWidth="1"/>
    <col min="13575" max="13575" width="11.140625" style="1181" customWidth="1"/>
    <col min="13576" max="13576" width="10.28515625" style="1181" bestFit="1" customWidth="1"/>
    <col min="13577" max="13577" width="10.140625" style="1181" bestFit="1" customWidth="1"/>
    <col min="13578" max="13578" width="12" style="1181" bestFit="1" customWidth="1"/>
    <col min="13579" max="13579" width="14.28515625" style="1181" bestFit="1" customWidth="1"/>
    <col min="13580" max="13580" width="13.5703125" style="1181" bestFit="1" customWidth="1"/>
    <col min="13581" max="13581" width="13.85546875" style="1181" bestFit="1" customWidth="1"/>
    <col min="13582" max="13824" width="9.140625" style="1181"/>
    <col min="13825" max="13825" width="4.42578125" style="1181" customWidth="1"/>
    <col min="13826" max="13826" width="46.85546875" style="1181" customWidth="1"/>
    <col min="13827" max="13827" width="11.28515625" style="1181" bestFit="1" customWidth="1"/>
    <col min="13828" max="13828" width="11.42578125" style="1181" bestFit="1" customWidth="1"/>
    <col min="13829" max="13829" width="11.85546875" style="1181" customWidth="1"/>
    <col min="13830" max="13830" width="10" style="1181" customWidth="1"/>
    <col min="13831" max="13831" width="11.140625" style="1181" customWidth="1"/>
    <col min="13832" max="13832" width="10.28515625" style="1181" bestFit="1" customWidth="1"/>
    <col min="13833" max="13833" width="10.140625" style="1181" bestFit="1" customWidth="1"/>
    <col min="13834" max="13834" width="12" style="1181" bestFit="1" customWidth="1"/>
    <col min="13835" max="13835" width="14.28515625" style="1181" bestFit="1" customWidth="1"/>
    <col min="13836" max="13836" width="13.5703125" style="1181" bestFit="1" customWidth="1"/>
    <col min="13837" max="13837" width="13.85546875" style="1181" bestFit="1" customWidth="1"/>
    <col min="13838" max="14080" width="9.140625" style="1181"/>
    <col min="14081" max="14081" width="4.42578125" style="1181" customWidth="1"/>
    <col min="14082" max="14082" width="46.85546875" style="1181" customWidth="1"/>
    <col min="14083" max="14083" width="11.28515625" style="1181" bestFit="1" customWidth="1"/>
    <col min="14084" max="14084" width="11.42578125" style="1181" bestFit="1" customWidth="1"/>
    <col min="14085" max="14085" width="11.85546875" style="1181" customWidth="1"/>
    <col min="14086" max="14086" width="10" style="1181" customWidth="1"/>
    <col min="14087" max="14087" width="11.140625" style="1181" customWidth="1"/>
    <col min="14088" max="14088" width="10.28515625" style="1181" bestFit="1" customWidth="1"/>
    <col min="14089" max="14089" width="10.140625" style="1181" bestFit="1" customWidth="1"/>
    <col min="14090" max="14090" width="12" style="1181" bestFit="1" customWidth="1"/>
    <col min="14091" max="14091" width="14.28515625" style="1181" bestFit="1" customWidth="1"/>
    <col min="14092" max="14092" width="13.5703125" style="1181" bestFit="1" customWidth="1"/>
    <col min="14093" max="14093" width="13.85546875" style="1181" bestFit="1" customWidth="1"/>
    <col min="14094" max="14336" width="9.140625" style="1181"/>
    <col min="14337" max="14337" width="4.42578125" style="1181" customWidth="1"/>
    <col min="14338" max="14338" width="46.85546875" style="1181" customWidth="1"/>
    <col min="14339" max="14339" width="11.28515625" style="1181" bestFit="1" customWidth="1"/>
    <col min="14340" max="14340" width="11.42578125" style="1181" bestFit="1" customWidth="1"/>
    <col min="14341" max="14341" width="11.85546875" style="1181" customWidth="1"/>
    <col min="14342" max="14342" width="10" style="1181" customWidth="1"/>
    <col min="14343" max="14343" width="11.140625" style="1181" customWidth="1"/>
    <col min="14344" max="14344" width="10.28515625" style="1181" bestFit="1" customWidth="1"/>
    <col min="14345" max="14345" width="10.140625" style="1181" bestFit="1" customWidth="1"/>
    <col min="14346" max="14346" width="12" style="1181" bestFit="1" customWidth="1"/>
    <col min="14347" max="14347" width="14.28515625" style="1181" bestFit="1" customWidth="1"/>
    <col min="14348" max="14348" width="13.5703125" style="1181" bestFit="1" customWidth="1"/>
    <col min="14349" max="14349" width="13.85546875" style="1181" bestFit="1" customWidth="1"/>
    <col min="14350" max="14592" width="9.140625" style="1181"/>
    <col min="14593" max="14593" width="4.42578125" style="1181" customWidth="1"/>
    <col min="14594" max="14594" width="46.85546875" style="1181" customWidth="1"/>
    <col min="14595" max="14595" width="11.28515625" style="1181" bestFit="1" customWidth="1"/>
    <col min="14596" max="14596" width="11.42578125" style="1181" bestFit="1" customWidth="1"/>
    <col min="14597" max="14597" width="11.85546875" style="1181" customWidth="1"/>
    <col min="14598" max="14598" width="10" style="1181" customWidth="1"/>
    <col min="14599" max="14599" width="11.140625" style="1181" customWidth="1"/>
    <col min="14600" max="14600" width="10.28515625" style="1181" bestFit="1" customWidth="1"/>
    <col min="14601" max="14601" width="10.140625" style="1181" bestFit="1" customWidth="1"/>
    <col min="14602" max="14602" width="12" style="1181" bestFit="1" customWidth="1"/>
    <col min="14603" max="14603" width="14.28515625" style="1181" bestFit="1" customWidth="1"/>
    <col min="14604" max="14604" width="13.5703125" style="1181" bestFit="1" customWidth="1"/>
    <col min="14605" max="14605" width="13.85546875" style="1181" bestFit="1" customWidth="1"/>
    <col min="14606" max="14848" width="9.140625" style="1181"/>
    <col min="14849" max="14849" width="4.42578125" style="1181" customWidth="1"/>
    <col min="14850" max="14850" width="46.85546875" style="1181" customWidth="1"/>
    <col min="14851" max="14851" width="11.28515625" style="1181" bestFit="1" customWidth="1"/>
    <col min="14852" max="14852" width="11.42578125" style="1181" bestFit="1" customWidth="1"/>
    <col min="14853" max="14853" width="11.85546875" style="1181" customWidth="1"/>
    <col min="14854" max="14854" width="10" style="1181" customWidth="1"/>
    <col min="14855" max="14855" width="11.140625" style="1181" customWidth="1"/>
    <col min="14856" max="14856" width="10.28515625" style="1181" bestFit="1" customWidth="1"/>
    <col min="14857" max="14857" width="10.140625" style="1181" bestFit="1" customWidth="1"/>
    <col min="14858" max="14858" width="12" style="1181" bestFit="1" customWidth="1"/>
    <col min="14859" max="14859" width="14.28515625" style="1181" bestFit="1" customWidth="1"/>
    <col min="14860" max="14860" width="13.5703125" style="1181" bestFit="1" customWidth="1"/>
    <col min="14861" max="14861" width="13.85546875" style="1181" bestFit="1" customWidth="1"/>
    <col min="14862" max="15104" width="9.140625" style="1181"/>
    <col min="15105" max="15105" width="4.42578125" style="1181" customWidth="1"/>
    <col min="15106" max="15106" width="46.85546875" style="1181" customWidth="1"/>
    <col min="15107" max="15107" width="11.28515625" style="1181" bestFit="1" customWidth="1"/>
    <col min="15108" max="15108" width="11.42578125" style="1181" bestFit="1" customWidth="1"/>
    <col min="15109" max="15109" width="11.85546875" style="1181" customWidth="1"/>
    <col min="15110" max="15110" width="10" style="1181" customWidth="1"/>
    <col min="15111" max="15111" width="11.140625" style="1181" customWidth="1"/>
    <col min="15112" max="15112" width="10.28515625" style="1181" bestFit="1" customWidth="1"/>
    <col min="15113" max="15113" width="10.140625" style="1181" bestFit="1" customWidth="1"/>
    <col min="15114" max="15114" width="12" style="1181" bestFit="1" customWidth="1"/>
    <col min="15115" max="15115" width="14.28515625" style="1181" bestFit="1" customWidth="1"/>
    <col min="15116" max="15116" width="13.5703125" style="1181" bestFit="1" customWidth="1"/>
    <col min="15117" max="15117" width="13.85546875" style="1181" bestFit="1" customWidth="1"/>
    <col min="15118" max="15360" width="9.140625" style="1181"/>
    <col min="15361" max="15361" width="4.42578125" style="1181" customWidth="1"/>
    <col min="15362" max="15362" width="46.85546875" style="1181" customWidth="1"/>
    <col min="15363" max="15363" width="11.28515625" style="1181" bestFit="1" customWidth="1"/>
    <col min="15364" max="15364" width="11.42578125" style="1181" bestFit="1" customWidth="1"/>
    <col min="15365" max="15365" width="11.85546875" style="1181" customWidth="1"/>
    <col min="15366" max="15366" width="10" style="1181" customWidth="1"/>
    <col min="15367" max="15367" width="11.140625" style="1181" customWidth="1"/>
    <col min="15368" max="15368" width="10.28515625" style="1181" bestFit="1" customWidth="1"/>
    <col min="15369" max="15369" width="10.140625" style="1181" bestFit="1" customWidth="1"/>
    <col min="15370" max="15370" width="12" style="1181" bestFit="1" customWidth="1"/>
    <col min="15371" max="15371" width="14.28515625" style="1181" bestFit="1" customWidth="1"/>
    <col min="15372" max="15372" width="13.5703125" style="1181" bestFit="1" customWidth="1"/>
    <col min="15373" max="15373" width="13.85546875" style="1181" bestFit="1" customWidth="1"/>
    <col min="15374" max="15616" width="9.140625" style="1181"/>
    <col min="15617" max="15617" width="4.42578125" style="1181" customWidth="1"/>
    <col min="15618" max="15618" width="46.85546875" style="1181" customWidth="1"/>
    <col min="15619" max="15619" width="11.28515625" style="1181" bestFit="1" customWidth="1"/>
    <col min="15620" max="15620" width="11.42578125" style="1181" bestFit="1" customWidth="1"/>
    <col min="15621" max="15621" width="11.85546875" style="1181" customWidth="1"/>
    <col min="15622" max="15622" width="10" style="1181" customWidth="1"/>
    <col min="15623" max="15623" width="11.140625" style="1181" customWidth="1"/>
    <col min="15624" max="15624" width="10.28515625" style="1181" bestFit="1" customWidth="1"/>
    <col min="15625" max="15625" width="10.140625" style="1181" bestFit="1" customWidth="1"/>
    <col min="15626" max="15626" width="12" style="1181" bestFit="1" customWidth="1"/>
    <col min="15627" max="15627" width="14.28515625" style="1181" bestFit="1" customWidth="1"/>
    <col min="15628" max="15628" width="13.5703125" style="1181" bestFit="1" customWidth="1"/>
    <col min="15629" max="15629" width="13.85546875" style="1181" bestFit="1" customWidth="1"/>
    <col min="15630" max="15872" width="9.140625" style="1181"/>
    <col min="15873" max="15873" width="4.42578125" style="1181" customWidth="1"/>
    <col min="15874" max="15874" width="46.85546875" style="1181" customWidth="1"/>
    <col min="15875" max="15875" width="11.28515625" style="1181" bestFit="1" customWidth="1"/>
    <col min="15876" max="15876" width="11.42578125" style="1181" bestFit="1" customWidth="1"/>
    <col min="15877" max="15877" width="11.85546875" style="1181" customWidth="1"/>
    <col min="15878" max="15878" width="10" style="1181" customWidth="1"/>
    <col min="15879" max="15879" width="11.140625" style="1181" customWidth="1"/>
    <col min="15880" max="15880" width="10.28515625" style="1181" bestFit="1" customWidth="1"/>
    <col min="15881" max="15881" width="10.140625" style="1181" bestFit="1" customWidth="1"/>
    <col min="15882" max="15882" width="12" style="1181" bestFit="1" customWidth="1"/>
    <col min="15883" max="15883" width="14.28515625" style="1181" bestFit="1" customWidth="1"/>
    <col min="15884" max="15884" width="13.5703125" style="1181" bestFit="1" customWidth="1"/>
    <col min="15885" max="15885" width="13.85546875" style="1181" bestFit="1" customWidth="1"/>
    <col min="15886" max="16128" width="9.140625" style="1181"/>
    <col min="16129" max="16129" width="4.42578125" style="1181" customWidth="1"/>
    <col min="16130" max="16130" width="46.85546875" style="1181" customWidth="1"/>
    <col min="16131" max="16131" width="11.28515625" style="1181" bestFit="1" customWidth="1"/>
    <col min="16132" max="16132" width="11.42578125" style="1181" bestFit="1" customWidth="1"/>
    <col min="16133" max="16133" width="11.85546875" style="1181" customWidth="1"/>
    <col min="16134" max="16134" width="10" style="1181" customWidth="1"/>
    <col min="16135" max="16135" width="11.140625" style="1181" customWidth="1"/>
    <col min="16136" max="16136" width="10.28515625" style="1181" bestFit="1" customWidth="1"/>
    <col min="16137" max="16137" width="10.140625" style="1181" bestFit="1" customWidth="1"/>
    <col min="16138" max="16138" width="12" style="1181" bestFit="1" customWidth="1"/>
    <col min="16139" max="16139" width="14.28515625" style="1181" bestFit="1" customWidth="1"/>
    <col min="16140" max="16140" width="13.5703125" style="1181" bestFit="1" customWidth="1"/>
    <col min="16141" max="16141" width="13.85546875" style="1181" bestFit="1" customWidth="1"/>
    <col min="16142" max="16384" width="9.140625" style="1181"/>
  </cols>
  <sheetData>
    <row r="1" spans="1:13" s="1340" customFormat="1" ht="15">
      <c r="H1" s="1341"/>
      <c r="I1" s="1342"/>
      <c r="K1" s="1341"/>
    </row>
    <row r="2" spans="1:13" ht="51" customHeight="1">
      <c r="A2" s="1901" t="s">
        <v>157</v>
      </c>
      <c r="B2" s="1905" t="s">
        <v>1147</v>
      </c>
      <c r="C2" s="1903" t="s">
        <v>1122</v>
      </c>
      <c r="D2" s="1903" t="s">
        <v>1156</v>
      </c>
      <c r="E2" s="1894" t="s">
        <v>1157</v>
      </c>
      <c r="F2" s="1894" t="s">
        <v>1124</v>
      </c>
      <c r="G2" s="1894" t="s">
        <v>1125</v>
      </c>
      <c r="H2" s="1895" t="s">
        <v>1126</v>
      </c>
      <c r="I2" s="1897" t="s">
        <v>1127</v>
      </c>
      <c r="J2" s="1899" t="s">
        <v>1160</v>
      </c>
      <c r="K2" s="1890" t="s">
        <v>1129</v>
      </c>
      <c r="L2" s="1890" t="s">
        <v>909</v>
      </c>
      <c r="M2" s="1890" t="s">
        <v>1130</v>
      </c>
    </row>
    <row r="3" spans="1:13" ht="130.5" customHeight="1">
      <c r="A3" s="1902"/>
      <c r="B3" s="1901"/>
      <c r="C3" s="1904"/>
      <c r="D3" s="1904"/>
      <c r="E3" s="1894"/>
      <c r="F3" s="1894"/>
      <c r="G3" s="1894"/>
      <c r="H3" s="1896"/>
      <c r="I3" s="1898"/>
      <c r="J3" s="1900"/>
      <c r="K3" s="1891"/>
      <c r="L3" s="1891"/>
      <c r="M3" s="1891"/>
    </row>
    <row r="4" spans="1:13" ht="15">
      <c r="A4" s="1343"/>
      <c r="B4" s="1344"/>
      <c r="C4" s="1344">
        <v>1</v>
      </c>
      <c r="D4" s="1344">
        <f>C4+1</f>
        <v>2</v>
      </c>
      <c r="E4" s="1344">
        <f t="shared" ref="E4:M4" si="0">D4+1</f>
        <v>3</v>
      </c>
      <c r="F4" s="1344">
        <f t="shared" si="0"/>
        <v>4</v>
      </c>
      <c r="G4" s="1344">
        <f t="shared" si="0"/>
        <v>5</v>
      </c>
      <c r="H4" s="1344">
        <f t="shared" si="0"/>
        <v>6</v>
      </c>
      <c r="I4" s="1344">
        <f t="shared" si="0"/>
        <v>7</v>
      </c>
      <c r="J4" s="1344">
        <f t="shared" si="0"/>
        <v>8</v>
      </c>
      <c r="K4" s="1344">
        <f t="shared" si="0"/>
        <v>9</v>
      </c>
      <c r="L4" s="1344">
        <f t="shared" si="0"/>
        <v>10</v>
      </c>
      <c r="M4" s="1344">
        <f t="shared" si="0"/>
        <v>11</v>
      </c>
    </row>
    <row r="5" spans="1:13" s="1350" customFormat="1" ht="43.5">
      <c r="A5" s="1343"/>
      <c r="B5" s="1344"/>
      <c r="C5" s="1346" t="s">
        <v>1132</v>
      </c>
      <c r="D5" s="1346" t="s">
        <v>1132</v>
      </c>
      <c r="E5" s="1346" t="s">
        <v>1133</v>
      </c>
      <c r="F5" s="1345" t="s">
        <v>1149</v>
      </c>
      <c r="G5" s="1345" t="s">
        <v>1150</v>
      </c>
      <c r="H5" s="1347" t="s">
        <v>1136</v>
      </c>
      <c r="I5" s="1348" t="s">
        <v>1137</v>
      </c>
      <c r="J5" s="1347" t="s">
        <v>1138</v>
      </c>
      <c r="K5" s="1349" t="s">
        <v>1139</v>
      </c>
      <c r="L5" s="1345" t="s">
        <v>1140</v>
      </c>
      <c r="M5" s="1345" t="s">
        <v>1141</v>
      </c>
    </row>
    <row r="6" spans="1:13" ht="14.25">
      <c r="A6" s="1186">
        <v>1</v>
      </c>
      <c r="B6" s="1186" t="s">
        <v>911</v>
      </c>
      <c r="C6" s="1351">
        <f>[14]Sheet1!$I5</f>
        <v>27</v>
      </c>
      <c r="D6" s="1351">
        <f>'[16]Final 2-1-12 SIS'!$Q11</f>
        <v>21</v>
      </c>
      <c r="E6" s="1352">
        <f>D6-C6</f>
        <v>-6</v>
      </c>
      <c r="F6" s="1352">
        <f>IF(E6&gt;0,E6,0)</f>
        <v>0</v>
      </c>
      <c r="G6" s="1352">
        <f>IF(E6&lt;0,E6,0)</f>
        <v>-6</v>
      </c>
      <c r="H6" s="1353">
        <f>'Table 5C2 - LA Virtual Admy '!D5</f>
        <v>4209.3</v>
      </c>
      <c r="I6" s="1353">
        <f>'Table 5C2 - LA Virtual Admy '!F5</f>
        <v>699.73200000000008</v>
      </c>
      <c r="J6" s="1353">
        <f>(I6+H6)*0.5</f>
        <v>2454.5160000000001</v>
      </c>
      <c r="K6" s="1354">
        <f>E6*J6</f>
        <v>-14727.096000000001</v>
      </c>
      <c r="L6" s="1353">
        <f>IF(K6&gt;0,K6,0)</f>
        <v>0</v>
      </c>
      <c r="M6" s="1353">
        <f>IF(K6&lt;0,K6,0)</f>
        <v>-14727.096000000001</v>
      </c>
    </row>
    <row r="7" spans="1:13" ht="14.25">
      <c r="A7" s="1186">
        <v>2</v>
      </c>
      <c r="B7" s="1186" t="s">
        <v>912</v>
      </c>
      <c r="C7" s="1351">
        <f>[14]Sheet1!$I6</f>
        <v>12</v>
      </c>
      <c r="D7" s="1351">
        <f>'[16]Final 2-1-12 SIS'!$Q12</f>
        <v>8</v>
      </c>
      <c r="E7" s="1352">
        <f t="shared" ref="E7:E70" si="1">D7-C7</f>
        <v>-4</v>
      </c>
      <c r="F7" s="1352">
        <f t="shared" ref="F7:F70" si="2">IF(E7&gt;0,E7,0)</f>
        <v>0</v>
      </c>
      <c r="G7" s="1352">
        <f t="shared" ref="G7:G70" si="3">IF(E7&lt;0,E7,0)</f>
        <v>-4</v>
      </c>
      <c r="H7" s="1353">
        <f>'Table 5C2 - LA Virtual Admy '!D6</f>
        <v>5444.7660898101512</v>
      </c>
      <c r="I7" s="1353">
        <f>'Table 5C2 - LA Virtual Admy '!F6</f>
        <v>758.08800000000008</v>
      </c>
      <c r="J7" s="1353">
        <f t="shared" ref="J7:J70" si="4">(I7+H7)*0.5</f>
        <v>3101.4270449050755</v>
      </c>
      <c r="K7" s="1354">
        <f t="shared" ref="K7:K70" si="5">E7*J7</f>
        <v>-12405.708179620302</v>
      </c>
      <c r="L7" s="1353">
        <f t="shared" ref="L7:L70" si="6">IF(K7&gt;0,K7,0)</f>
        <v>0</v>
      </c>
      <c r="M7" s="1353">
        <f t="shared" ref="M7:M70" si="7">IF(K7&lt;0,K7,0)</f>
        <v>-12405.708179620302</v>
      </c>
    </row>
    <row r="8" spans="1:13" ht="14.25">
      <c r="A8" s="1186">
        <v>3</v>
      </c>
      <c r="B8" s="1186" t="s">
        <v>913</v>
      </c>
      <c r="C8" s="1355">
        <f>[14]Sheet1!$I7</f>
        <v>27</v>
      </c>
      <c r="D8" s="1355">
        <f>'[16]Final 2-1-12 SIS'!$Q13</f>
        <v>30</v>
      </c>
      <c r="E8" s="1352">
        <f t="shared" si="1"/>
        <v>3</v>
      </c>
      <c r="F8" s="1352">
        <f t="shared" si="2"/>
        <v>3</v>
      </c>
      <c r="G8" s="1352">
        <f t="shared" si="3"/>
        <v>0</v>
      </c>
      <c r="H8" s="1353">
        <f>'Table 5C2 - LA Virtual Admy '!D7</f>
        <v>3712.0903724597265</v>
      </c>
      <c r="I8" s="1356">
        <f>'Table 5C2 - LA Virtual Admy '!F7</f>
        <v>537.15600000000006</v>
      </c>
      <c r="J8" s="1356">
        <f t="shared" si="4"/>
        <v>2124.6231862298632</v>
      </c>
      <c r="K8" s="1354">
        <f t="shared" si="5"/>
        <v>6373.8695586895901</v>
      </c>
      <c r="L8" s="1356">
        <f t="shared" si="6"/>
        <v>6373.8695586895901</v>
      </c>
      <c r="M8" s="1356">
        <f t="shared" si="7"/>
        <v>0</v>
      </c>
    </row>
    <row r="9" spans="1:13" ht="14.25">
      <c r="A9" s="1186">
        <v>4</v>
      </c>
      <c r="B9" s="1186" t="s">
        <v>914</v>
      </c>
      <c r="C9" s="1355">
        <f>[14]Sheet1!$I8</f>
        <v>2</v>
      </c>
      <c r="D9" s="1355">
        <f>'[16]Final 2-1-12 SIS'!$Q14</f>
        <v>11</v>
      </c>
      <c r="E9" s="1352">
        <f t="shared" si="1"/>
        <v>9</v>
      </c>
      <c r="F9" s="1352">
        <f t="shared" si="2"/>
        <v>9</v>
      </c>
      <c r="G9" s="1352">
        <f t="shared" si="3"/>
        <v>0</v>
      </c>
      <c r="H9" s="1353">
        <f>'Table 5C2 - LA Virtual Admy '!D8</f>
        <v>5437.7563294083247</v>
      </c>
      <c r="I9" s="1356">
        <f>'Table 5C2 - LA Virtual Admy '!F8</f>
        <v>527.18399999999997</v>
      </c>
      <c r="J9" s="1356">
        <f t="shared" si="4"/>
        <v>2982.4701647041625</v>
      </c>
      <c r="K9" s="1354">
        <f t="shared" si="5"/>
        <v>26842.231482337462</v>
      </c>
      <c r="L9" s="1356">
        <f t="shared" si="6"/>
        <v>26842.231482337462</v>
      </c>
      <c r="M9" s="1356">
        <f t="shared" si="7"/>
        <v>0</v>
      </c>
    </row>
    <row r="10" spans="1:13" ht="14.25">
      <c r="A10" s="1192">
        <v>5</v>
      </c>
      <c r="B10" s="1192" t="s">
        <v>915</v>
      </c>
      <c r="C10" s="1358">
        <f>[14]Sheet1!$I9</f>
        <v>17</v>
      </c>
      <c r="D10" s="1358">
        <f>'[16]Final 2-1-12 SIS'!$Q15</f>
        <v>18</v>
      </c>
      <c r="E10" s="1359">
        <f t="shared" si="1"/>
        <v>1</v>
      </c>
      <c r="F10" s="1359">
        <f t="shared" si="2"/>
        <v>1</v>
      </c>
      <c r="G10" s="1359">
        <f t="shared" si="3"/>
        <v>0</v>
      </c>
      <c r="H10" s="1360">
        <f>'Table 5C2 - LA Virtual Admy '!D9</f>
        <v>4392.6597520963815</v>
      </c>
      <c r="I10" s="1361">
        <f>'Table 5C2 - LA Virtual Admy '!F9</f>
        <v>500.31899999999996</v>
      </c>
      <c r="J10" s="1361">
        <f t="shared" si="4"/>
        <v>2446.4893760481909</v>
      </c>
      <c r="K10" s="1362">
        <f t="shared" si="5"/>
        <v>2446.4893760481909</v>
      </c>
      <c r="L10" s="1361">
        <f t="shared" si="6"/>
        <v>2446.4893760481909</v>
      </c>
      <c r="M10" s="1361">
        <f t="shared" si="7"/>
        <v>0</v>
      </c>
    </row>
    <row r="11" spans="1:13" ht="14.25">
      <c r="A11" s="1186">
        <v>6</v>
      </c>
      <c r="B11" s="1186" t="s">
        <v>916</v>
      </c>
      <c r="C11" s="1351">
        <f>[14]Sheet1!$I10</f>
        <v>18</v>
      </c>
      <c r="D11" s="1351">
        <f>'[16]Final 2-1-12 SIS'!$Q16</f>
        <v>15</v>
      </c>
      <c r="E11" s="1352">
        <f t="shared" si="1"/>
        <v>-3</v>
      </c>
      <c r="F11" s="1352">
        <f t="shared" si="2"/>
        <v>0</v>
      </c>
      <c r="G11" s="1352">
        <f t="shared" si="3"/>
        <v>-3</v>
      </c>
      <c r="H11" s="1353">
        <f>'Table 5C2 - LA Virtual Admy '!D10</f>
        <v>5072.3139727898033</v>
      </c>
      <c r="I11" s="1353">
        <f>'Table 5C2 - LA Virtual Admy '!F10</f>
        <v>490.9319999999999</v>
      </c>
      <c r="J11" s="1353">
        <f t="shared" si="4"/>
        <v>2781.6229863949015</v>
      </c>
      <c r="K11" s="1354">
        <f t="shared" si="5"/>
        <v>-8344.8689591847051</v>
      </c>
      <c r="L11" s="1353">
        <f t="shared" si="6"/>
        <v>0</v>
      </c>
      <c r="M11" s="1353">
        <f t="shared" si="7"/>
        <v>-8344.8689591847051</v>
      </c>
    </row>
    <row r="12" spans="1:13" ht="14.25">
      <c r="A12" s="1186">
        <v>7</v>
      </c>
      <c r="B12" s="1186" t="s">
        <v>917</v>
      </c>
      <c r="C12" s="1351">
        <f>[14]Sheet1!$I11</f>
        <v>5</v>
      </c>
      <c r="D12" s="1351">
        <f>'[16]Final 2-1-12 SIS'!$Q17</f>
        <v>9</v>
      </c>
      <c r="E12" s="1352">
        <f t="shared" si="1"/>
        <v>4</v>
      </c>
      <c r="F12" s="1352">
        <f t="shared" si="2"/>
        <v>4</v>
      </c>
      <c r="G12" s="1352">
        <f t="shared" si="3"/>
        <v>0</v>
      </c>
      <c r="H12" s="1353">
        <f>'Table 5C2 - LA Virtual Admy '!D11</f>
        <v>1385.9737278509767</v>
      </c>
      <c r="I12" s="1353">
        <f>'Table 5C2 - LA Virtual Admy '!F11</f>
        <v>681.22799999999984</v>
      </c>
      <c r="J12" s="1353">
        <f t="shared" si="4"/>
        <v>1033.6008639254883</v>
      </c>
      <c r="K12" s="1354">
        <f t="shared" si="5"/>
        <v>4134.4034557019531</v>
      </c>
      <c r="L12" s="1353">
        <f t="shared" si="6"/>
        <v>4134.4034557019531</v>
      </c>
      <c r="M12" s="1353">
        <f t="shared" si="7"/>
        <v>0</v>
      </c>
    </row>
    <row r="13" spans="1:13" ht="14.25">
      <c r="A13" s="1186">
        <v>8</v>
      </c>
      <c r="B13" s="1186" t="s">
        <v>918</v>
      </c>
      <c r="C13" s="1355">
        <f>[14]Sheet1!$I12</f>
        <v>55</v>
      </c>
      <c r="D13" s="1355">
        <f>'[16]Final 2-1-12 SIS'!$Q18</f>
        <v>46</v>
      </c>
      <c r="E13" s="1352">
        <f t="shared" si="1"/>
        <v>-9</v>
      </c>
      <c r="F13" s="1352">
        <f t="shared" si="2"/>
        <v>0</v>
      </c>
      <c r="G13" s="1352">
        <f t="shared" si="3"/>
        <v>-9</v>
      </c>
      <c r="H13" s="1353">
        <f>'Table 5C2 - LA Virtual Admy '!D12</f>
        <v>3601.2056558252466</v>
      </c>
      <c r="I13" s="1356">
        <f>'Table 5C2 - LA Virtual Admy '!F12</f>
        <v>653.18399999999997</v>
      </c>
      <c r="J13" s="1356">
        <f t="shared" si="4"/>
        <v>2127.1948279126232</v>
      </c>
      <c r="K13" s="1354">
        <f t="shared" si="5"/>
        <v>-19144.753451213608</v>
      </c>
      <c r="L13" s="1356">
        <f t="shared" si="6"/>
        <v>0</v>
      </c>
      <c r="M13" s="1356">
        <f t="shared" si="7"/>
        <v>-19144.753451213608</v>
      </c>
    </row>
    <row r="14" spans="1:13" ht="14.25">
      <c r="A14" s="1186">
        <v>9</v>
      </c>
      <c r="B14" s="1186" t="s">
        <v>919</v>
      </c>
      <c r="C14" s="1355">
        <f>[14]Sheet1!$I13</f>
        <v>98</v>
      </c>
      <c r="D14" s="1355">
        <f>'[16]Final 2-1-12 SIS'!$Q19</f>
        <v>91</v>
      </c>
      <c r="E14" s="1352">
        <f t="shared" si="1"/>
        <v>-7</v>
      </c>
      <c r="F14" s="1352">
        <f t="shared" si="2"/>
        <v>0</v>
      </c>
      <c r="G14" s="1352">
        <f t="shared" si="3"/>
        <v>-7</v>
      </c>
      <c r="H14" s="1356">
        <f>'Table 5C2 - LA Virtual Admy '!D13</f>
        <v>3946.4201542979081</v>
      </c>
      <c r="I14" s="1356">
        <f>'Table 5C2 - LA Virtual Admy '!F13</f>
        <v>670.28399999999999</v>
      </c>
      <c r="J14" s="1356">
        <f t="shared" si="4"/>
        <v>2308.3520771489539</v>
      </c>
      <c r="K14" s="1354">
        <f t="shared" si="5"/>
        <v>-16158.464540042678</v>
      </c>
      <c r="L14" s="1365">
        <f t="shared" si="6"/>
        <v>0</v>
      </c>
      <c r="M14" s="1365">
        <f t="shared" si="7"/>
        <v>-16158.464540042678</v>
      </c>
    </row>
    <row r="15" spans="1:13" ht="14.25">
      <c r="A15" s="1192">
        <v>10</v>
      </c>
      <c r="B15" s="1192" t="s">
        <v>686</v>
      </c>
      <c r="C15" s="1358">
        <f>[14]Sheet1!$I14</f>
        <v>63</v>
      </c>
      <c r="D15" s="1358">
        <f>'[16]Final 2-1-12 SIS'!$Q20</f>
        <v>66</v>
      </c>
      <c r="E15" s="1359">
        <f t="shared" si="1"/>
        <v>3</v>
      </c>
      <c r="F15" s="1359">
        <f t="shared" si="2"/>
        <v>3</v>
      </c>
      <c r="G15" s="1359">
        <f t="shared" si="3"/>
        <v>0</v>
      </c>
      <c r="H15" s="1361">
        <f>'Table 5C2 - LA Virtual Admy '!D14</f>
        <v>3880.929874751208</v>
      </c>
      <c r="I15" s="1361">
        <f>'Table 5C2 - LA Virtual Admy '!F14</f>
        <v>547.2360000000001</v>
      </c>
      <c r="J15" s="1361">
        <f t="shared" si="4"/>
        <v>2214.0829373756042</v>
      </c>
      <c r="K15" s="1362">
        <f t="shared" si="5"/>
        <v>6642.2488121268125</v>
      </c>
      <c r="L15" s="1366">
        <f t="shared" si="6"/>
        <v>6642.2488121268125</v>
      </c>
      <c r="M15" s="1366">
        <f t="shared" si="7"/>
        <v>0</v>
      </c>
    </row>
    <row r="16" spans="1:13" ht="14.25">
      <c r="A16" s="1186">
        <v>11</v>
      </c>
      <c r="B16" s="1186" t="s">
        <v>920</v>
      </c>
      <c r="C16" s="1351">
        <f>[14]Sheet1!$I15</f>
        <v>3</v>
      </c>
      <c r="D16" s="1351">
        <f>'[16]Final 2-1-12 SIS'!$Q21</f>
        <v>2</v>
      </c>
      <c r="E16" s="1352">
        <f t="shared" si="1"/>
        <v>-1</v>
      </c>
      <c r="F16" s="1352">
        <f t="shared" si="2"/>
        <v>0</v>
      </c>
      <c r="G16" s="1352">
        <f t="shared" si="3"/>
        <v>-1</v>
      </c>
      <c r="H16" s="1353">
        <f>'Table 5C2 - LA Virtual Admy '!D15</f>
        <v>6000.6277483637386</v>
      </c>
      <c r="I16" s="1353">
        <f>'Table 5C2 - LA Virtual Admy '!F15</f>
        <v>635.89499999999998</v>
      </c>
      <c r="J16" s="1353">
        <f t="shared" si="4"/>
        <v>3318.2613741818695</v>
      </c>
      <c r="K16" s="1354">
        <f t="shared" si="5"/>
        <v>-3318.2613741818695</v>
      </c>
      <c r="L16" s="1365">
        <f t="shared" si="6"/>
        <v>0</v>
      </c>
      <c r="M16" s="1365">
        <f t="shared" si="7"/>
        <v>-3318.2613741818695</v>
      </c>
    </row>
    <row r="17" spans="1:13" ht="14.25">
      <c r="A17" s="1186">
        <v>12</v>
      </c>
      <c r="B17" s="1186" t="s">
        <v>921</v>
      </c>
      <c r="C17" s="1351">
        <f>[14]Sheet1!$I16</f>
        <v>0</v>
      </c>
      <c r="D17" s="1351">
        <f>'[16]Final 2-1-12 SIS'!$Q22</f>
        <v>0</v>
      </c>
      <c r="E17" s="1352">
        <f t="shared" si="1"/>
        <v>0</v>
      </c>
      <c r="F17" s="1352">
        <f t="shared" si="2"/>
        <v>0</v>
      </c>
      <c r="G17" s="1352">
        <f t="shared" si="3"/>
        <v>0</v>
      </c>
      <c r="H17" s="1353">
        <f>'Table 5C2 - LA Virtual Admy '!D16</f>
        <v>1463.8737701612904</v>
      </c>
      <c r="I17" s="1353">
        <f>'Table 5C2 - LA Virtual Admy '!F16</f>
        <v>956.97899999999993</v>
      </c>
      <c r="J17" s="1353">
        <f t="shared" si="4"/>
        <v>1210.4263850806451</v>
      </c>
      <c r="K17" s="1354">
        <f t="shared" si="5"/>
        <v>0</v>
      </c>
      <c r="L17" s="1365">
        <f t="shared" si="6"/>
        <v>0</v>
      </c>
      <c r="M17" s="1365">
        <f t="shared" si="7"/>
        <v>0</v>
      </c>
    </row>
    <row r="18" spans="1:13" ht="14.25">
      <c r="A18" s="1186">
        <v>13</v>
      </c>
      <c r="B18" s="1186" t="s">
        <v>922</v>
      </c>
      <c r="C18" s="1355">
        <f>[14]Sheet1!$I17</f>
        <v>8</v>
      </c>
      <c r="D18" s="1355">
        <f>'[16]Final 2-1-12 SIS'!$Q23</f>
        <v>19</v>
      </c>
      <c r="E18" s="1352">
        <f t="shared" si="1"/>
        <v>11</v>
      </c>
      <c r="F18" s="1352">
        <f t="shared" si="2"/>
        <v>11</v>
      </c>
      <c r="G18" s="1352">
        <f t="shared" si="3"/>
        <v>0</v>
      </c>
      <c r="H18" s="1356">
        <f>'Table 5C2 - LA Virtual Admy '!D17</f>
        <v>5378.4402697520791</v>
      </c>
      <c r="I18" s="1356">
        <f>'Table 5C2 - LA Virtual Admy '!F17</f>
        <v>674.48700000000008</v>
      </c>
      <c r="J18" s="1356">
        <f t="shared" si="4"/>
        <v>3026.4636348760396</v>
      </c>
      <c r="K18" s="1354">
        <f t="shared" si="5"/>
        <v>33291.099983636435</v>
      </c>
      <c r="L18" s="1365">
        <f t="shared" si="6"/>
        <v>33291.099983636435</v>
      </c>
      <c r="M18" s="1365">
        <f t="shared" si="7"/>
        <v>0</v>
      </c>
    </row>
    <row r="19" spans="1:13" ht="14.25">
      <c r="A19" s="1186">
        <v>14</v>
      </c>
      <c r="B19" s="1186" t="s">
        <v>923</v>
      </c>
      <c r="C19" s="1355">
        <f>[14]Sheet1!$I18</f>
        <v>4</v>
      </c>
      <c r="D19" s="1355">
        <f>'[16]Final 2-1-12 SIS'!$Q24</f>
        <v>4</v>
      </c>
      <c r="E19" s="1352">
        <f t="shared" si="1"/>
        <v>0</v>
      </c>
      <c r="F19" s="1352">
        <f t="shared" si="2"/>
        <v>0</v>
      </c>
      <c r="G19" s="1352">
        <f t="shared" si="3"/>
        <v>0</v>
      </c>
      <c r="H19" s="1356">
        <f>'Table 5C2 - LA Virtual Admy '!D18</f>
        <v>5174.0803150666798</v>
      </c>
      <c r="I19" s="1356">
        <f>'Table 5C2 - LA Virtual Admy '!F18</f>
        <v>728.98199999999997</v>
      </c>
      <c r="J19" s="1356">
        <f t="shared" si="4"/>
        <v>2951.5311575333399</v>
      </c>
      <c r="K19" s="1354">
        <f t="shared" si="5"/>
        <v>0</v>
      </c>
      <c r="L19" s="1365">
        <f t="shared" si="6"/>
        <v>0</v>
      </c>
      <c r="M19" s="1365">
        <f t="shared" si="7"/>
        <v>0</v>
      </c>
    </row>
    <row r="20" spans="1:13" ht="14.25">
      <c r="A20" s="1192">
        <v>15</v>
      </c>
      <c r="B20" s="1192" t="s">
        <v>924</v>
      </c>
      <c r="C20" s="1358">
        <f>[14]Sheet1!$I19</f>
        <v>3</v>
      </c>
      <c r="D20" s="1358">
        <f>'[16]Final 2-1-12 SIS'!$Q25</f>
        <v>6</v>
      </c>
      <c r="E20" s="1359">
        <f t="shared" si="1"/>
        <v>3</v>
      </c>
      <c r="F20" s="1359">
        <f t="shared" si="2"/>
        <v>3</v>
      </c>
      <c r="G20" s="1359">
        <f t="shared" si="3"/>
        <v>0</v>
      </c>
      <c r="H20" s="1361">
        <f>'Table 5C2 - LA Virtual Admy '!D19</f>
        <v>4858.7192769100766</v>
      </c>
      <c r="I20" s="1361">
        <f>'Table 5C2 - LA Virtual Admy '!F19</f>
        <v>498.41999999999996</v>
      </c>
      <c r="J20" s="1361">
        <f t="shared" si="4"/>
        <v>2678.5696384550383</v>
      </c>
      <c r="K20" s="1362">
        <f t="shared" si="5"/>
        <v>8035.708915365115</v>
      </c>
      <c r="L20" s="1366">
        <f t="shared" si="6"/>
        <v>8035.708915365115</v>
      </c>
      <c r="M20" s="1366">
        <f t="shared" si="7"/>
        <v>0</v>
      </c>
    </row>
    <row r="21" spans="1:13" ht="14.25">
      <c r="A21" s="1186">
        <v>16</v>
      </c>
      <c r="B21" s="1186" t="s">
        <v>925</v>
      </c>
      <c r="C21" s="1351">
        <f>[14]Sheet1!$I20</f>
        <v>16</v>
      </c>
      <c r="D21" s="1351">
        <f>'[16]Final 2-1-12 SIS'!$Q26</f>
        <v>13</v>
      </c>
      <c r="E21" s="1352">
        <f t="shared" si="1"/>
        <v>-3</v>
      </c>
      <c r="F21" s="1352">
        <f t="shared" si="2"/>
        <v>0</v>
      </c>
      <c r="G21" s="1352">
        <f t="shared" si="3"/>
        <v>-3</v>
      </c>
      <c r="H21" s="1353">
        <f>'Table 5C2 - LA Virtual Admy '!D20</f>
        <v>1361.8761225144324</v>
      </c>
      <c r="I21" s="1353">
        <f>'Table 5C2 - LA Virtual Admy '!F20</f>
        <v>618.05700000000002</v>
      </c>
      <c r="J21" s="1353">
        <f t="shared" si="4"/>
        <v>989.9665612572162</v>
      </c>
      <c r="K21" s="1354">
        <f t="shared" si="5"/>
        <v>-2969.8996837716486</v>
      </c>
      <c r="L21" s="1365">
        <f t="shared" si="6"/>
        <v>0</v>
      </c>
      <c r="M21" s="1365">
        <f t="shared" si="7"/>
        <v>-2969.8996837716486</v>
      </c>
    </row>
    <row r="22" spans="1:13" ht="14.25">
      <c r="A22" s="1186">
        <v>17</v>
      </c>
      <c r="B22" s="1186" t="s">
        <v>639</v>
      </c>
      <c r="C22" s="1355">
        <f>[14]Sheet1!$I21</f>
        <v>80</v>
      </c>
      <c r="D22" s="1355">
        <f>'[16]Final 2-1-12 SIS'!$Q27</f>
        <v>68</v>
      </c>
      <c r="E22" s="1352">
        <f t="shared" si="1"/>
        <v>-12</v>
      </c>
      <c r="F22" s="1352">
        <f t="shared" si="2"/>
        <v>0</v>
      </c>
      <c r="G22" s="1352">
        <f t="shared" si="3"/>
        <v>-12</v>
      </c>
      <c r="H22" s="1356">
        <f>'Table 5C2 - LA Virtual Admy '!D21</f>
        <v>2940.1220784729112</v>
      </c>
      <c r="I22" s="1356">
        <f>'Table 5C2 - LA Virtual Admy '!F21</f>
        <v>721.32986175126121</v>
      </c>
      <c r="J22" s="1356">
        <f t="shared" si="4"/>
        <v>1830.7259701120861</v>
      </c>
      <c r="K22" s="1354">
        <f t="shared" si="5"/>
        <v>-21968.711641345035</v>
      </c>
      <c r="L22" s="1365">
        <f t="shared" si="6"/>
        <v>0</v>
      </c>
      <c r="M22" s="1365">
        <f t="shared" si="7"/>
        <v>-21968.711641345035</v>
      </c>
    </row>
    <row r="23" spans="1:13" ht="14.25">
      <c r="A23" s="1186">
        <v>18</v>
      </c>
      <c r="B23" s="1186" t="s">
        <v>926</v>
      </c>
      <c r="C23" s="1355">
        <f>[14]Sheet1!$I22</f>
        <v>1</v>
      </c>
      <c r="D23" s="1355">
        <f>'[16]Final 2-1-12 SIS'!$Q28</f>
        <v>1</v>
      </c>
      <c r="E23" s="1352">
        <f t="shared" si="1"/>
        <v>0</v>
      </c>
      <c r="F23" s="1352">
        <f t="shared" si="2"/>
        <v>0</v>
      </c>
      <c r="G23" s="1352">
        <f t="shared" si="3"/>
        <v>0</v>
      </c>
      <c r="H23" s="1356">
        <f>'Table 5C2 - LA Virtual Admy '!D22</f>
        <v>5192.4109119662935</v>
      </c>
      <c r="I23" s="1356">
        <f>'Table 5C2 - LA Virtual Admy '!F22</f>
        <v>761.3549999999999</v>
      </c>
      <c r="J23" s="1356">
        <f t="shared" si="4"/>
        <v>2976.8829559831465</v>
      </c>
      <c r="K23" s="1354">
        <f t="shared" si="5"/>
        <v>0</v>
      </c>
      <c r="L23" s="1365">
        <f t="shared" si="6"/>
        <v>0</v>
      </c>
      <c r="M23" s="1365">
        <f t="shared" si="7"/>
        <v>0</v>
      </c>
    </row>
    <row r="24" spans="1:13" ht="14.25">
      <c r="A24" s="1186">
        <v>19</v>
      </c>
      <c r="B24" s="1186" t="s">
        <v>927</v>
      </c>
      <c r="C24" s="1355">
        <f>[14]Sheet1!$I23</f>
        <v>7</v>
      </c>
      <c r="D24" s="1355">
        <f>'[16]Final 2-1-12 SIS'!$Q29</f>
        <v>7</v>
      </c>
      <c r="E24" s="1352">
        <f t="shared" si="1"/>
        <v>0</v>
      </c>
      <c r="F24" s="1352">
        <f t="shared" si="2"/>
        <v>0</v>
      </c>
      <c r="G24" s="1352">
        <f t="shared" si="3"/>
        <v>0</v>
      </c>
      <c r="H24" s="1356">
        <f>'Table 5C2 - LA Virtual Admy '!D23</f>
        <v>4683.746652806537</v>
      </c>
      <c r="I24" s="1356">
        <f>'Table 5C2 - LA Virtual Admy '!F23</f>
        <v>814.88699999999994</v>
      </c>
      <c r="J24" s="1356">
        <f t="shared" si="4"/>
        <v>2749.3168264032684</v>
      </c>
      <c r="K24" s="1354">
        <f t="shared" si="5"/>
        <v>0</v>
      </c>
      <c r="L24" s="1365">
        <f t="shared" si="6"/>
        <v>0</v>
      </c>
      <c r="M24" s="1365">
        <f t="shared" si="7"/>
        <v>0</v>
      </c>
    </row>
    <row r="25" spans="1:13" ht="14.25">
      <c r="A25" s="1192">
        <v>20</v>
      </c>
      <c r="B25" s="1192" t="s">
        <v>928</v>
      </c>
      <c r="C25" s="1358">
        <f>[14]Sheet1!$I24</f>
        <v>4</v>
      </c>
      <c r="D25" s="1358">
        <f>'[16]Final 2-1-12 SIS'!$Q30</f>
        <v>7</v>
      </c>
      <c r="E25" s="1359">
        <f t="shared" si="1"/>
        <v>3</v>
      </c>
      <c r="F25" s="1359">
        <f t="shared" si="2"/>
        <v>3</v>
      </c>
      <c r="G25" s="1359">
        <f t="shared" si="3"/>
        <v>0</v>
      </c>
      <c r="H25" s="1361">
        <f>'Table 5C2 - LA Virtual Admy '!D24</f>
        <v>4894.3760417440953</v>
      </c>
      <c r="I25" s="1361">
        <f>'Table 5C2 - LA Virtual Admy '!F24</f>
        <v>527.553</v>
      </c>
      <c r="J25" s="1361">
        <f t="shared" si="4"/>
        <v>2710.9645208720476</v>
      </c>
      <c r="K25" s="1362">
        <f t="shared" si="5"/>
        <v>8132.8935626161428</v>
      </c>
      <c r="L25" s="1366">
        <f t="shared" si="6"/>
        <v>8132.8935626161428</v>
      </c>
      <c r="M25" s="1366">
        <f t="shared" si="7"/>
        <v>0</v>
      </c>
    </row>
    <row r="26" spans="1:13" ht="14.25">
      <c r="A26" s="1186">
        <v>21</v>
      </c>
      <c r="B26" s="1186" t="s">
        <v>929</v>
      </c>
      <c r="C26" s="1351">
        <f>[14]Sheet1!$I25</f>
        <v>0</v>
      </c>
      <c r="D26" s="1351">
        <f>'[16]Final 2-1-12 SIS'!$Q31</f>
        <v>0</v>
      </c>
      <c r="E26" s="1352">
        <f t="shared" si="1"/>
        <v>0</v>
      </c>
      <c r="F26" s="1352">
        <f t="shared" si="2"/>
        <v>0</v>
      </c>
      <c r="G26" s="1352">
        <f t="shared" si="3"/>
        <v>0</v>
      </c>
      <c r="H26" s="1353">
        <f>'Table 5C2 - LA Virtual Admy '!D25</f>
        <v>5057.195413422467</v>
      </c>
      <c r="I26" s="1353">
        <f>'Table 5C2 - LA Virtual Admy '!F25</f>
        <v>549.31500000000005</v>
      </c>
      <c r="J26" s="1353">
        <f t="shared" si="4"/>
        <v>2803.2552067112338</v>
      </c>
      <c r="K26" s="1354">
        <f t="shared" si="5"/>
        <v>0</v>
      </c>
      <c r="L26" s="1365">
        <f t="shared" si="6"/>
        <v>0</v>
      </c>
      <c r="M26" s="1365">
        <f t="shared" si="7"/>
        <v>0</v>
      </c>
    </row>
    <row r="27" spans="1:13" ht="14.25">
      <c r="A27" s="1186">
        <v>22</v>
      </c>
      <c r="B27" s="1186" t="s">
        <v>930</v>
      </c>
      <c r="C27" s="1351">
        <f>[14]Sheet1!$I26</f>
        <v>1</v>
      </c>
      <c r="D27" s="1351">
        <f>'[16]Final 2-1-12 SIS'!$Q32</f>
        <v>2</v>
      </c>
      <c r="E27" s="1352">
        <f t="shared" si="1"/>
        <v>1</v>
      </c>
      <c r="F27" s="1352">
        <f t="shared" si="2"/>
        <v>1</v>
      </c>
      <c r="G27" s="1352">
        <f t="shared" si="3"/>
        <v>0</v>
      </c>
      <c r="H27" s="1353">
        <f>'Table 5C2 - LA Virtual Admy '!D26</f>
        <v>5567.6280255898364</v>
      </c>
      <c r="I27" s="1353">
        <f>'Table 5C2 - LA Virtual Admy '!F26</f>
        <v>446.72400000000005</v>
      </c>
      <c r="J27" s="1353">
        <f t="shared" si="4"/>
        <v>3007.1760127949183</v>
      </c>
      <c r="K27" s="1354">
        <f t="shared" si="5"/>
        <v>3007.1760127949183</v>
      </c>
      <c r="L27" s="1365">
        <f t="shared" si="6"/>
        <v>3007.1760127949183</v>
      </c>
      <c r="M27" s="1365">
        <f t="shared" si="7"/>
        <v>0</v>
      </c>
    </row>
    <row r="28" spans="1:13" ht="14.25">
      <c r="A28" s="1186">
        <v>23</v>
      </c>
      <c r="B28" s="1186" t="s">
        <v>931</v>
      </c>
      <c r="C28" s="1355">
        <f>[14]Sheet1!$I27</f>
        <v>7</v>
      </c>
      <c r="D28" s="1355">
        <f>'[16]Final 2-1-12 SIS'!$Q33</f>
        <v>8</v>
      </c>
      <c r="E28" s="1352">
        <f t="shared" si="1"/>
        <v>1</v>
      </c>
      <c r="F28" s="1352">
        <f t="shared" si="2"/>
        <v>1</v>
      </c>
      <c r="G28" s="1352">
        <f t="shared" si="3"/>
        <v>0</v>
      </c>
      <c r="H28" s="1356">
        <f>'Table 5C2 - LA Virtual Admy '!D27</f>
        <v>4346.3787333311848</v>
      </c>
      <c r="I28" s="1356">
        <f>'Table 5C2 - LA Virtual Admy '!F27</f>
        <v>619.72200000000009</v>
      </c>
      <c r="J28" s="1356">
        <f t="shared" si="4"/>
        <v>2483.0503666655923</v>
      </c>
      <c r="K28" s="1354">
        <f t="shared" si="5"/>
        <v>2483.0503666655923</v>
      </c>
      <c r="L28" s="1365">
        <f t="shared" si="6"/>
        <v>2483.0503666655923</v>
      </c>
      <c r="M28" s="1365">
        <f t="shared" si="7"/>
        <v>0</v>
      </c>
    </row>
    <row r="29" spans="1:13" ht="14.25">
      <c r="A29" s="1186">
        <v>24</v>
      </c>
      <c r="B29" s="1186" t="s">
        <v>932</v>
      </c>
      <c r="C29" s="1355">
        <f>[14]Sheet1!$I28</f>
        <v>5</v>
      </c>
      <c r="D29" s="1355">
        <f>'[16]Final 2-1-12 SIS'!$Q34</f>
        <v>11</v>
      </c>
      <c r="E29" s="1352">
        <f t="shared" si="1"/>
        <v>6</v>
      </c>
      <c r="F29" s="1352">
        <f t="shared" si="2"/>
        <v>6</v>
      </c>
      <c r="G29" s="1352">
        <f t="shared" si="3"/>
        <v>0</v>
      </c>
      <c r="H29" s="1356">
        <f>'Table 5C2 - LA Virtual Admy '!D28</f>
        <v>2245.1024261844818</v>
      </c>
      <c r="I29" s="1356">
        <f>'Table 5C2 - LA Virtual Admy '!F28</f>
        <v>768.82499999999993</v>
      </c>
      <c r="J29" s="1356">
        <f t="shared" si="4"/>
        <v>1506.9637130922408</v>
      </c>
      <c r="K29" s="1354">
        <f t="shared" si="5"/>
        <v>9041.7822785534445</v>
      </c>
      <c r="L29" s="1365">
        <f t="shared" si="6"/>
        <v>9041.7822785534445</v>
      </c>
      <c r="M29" s="1365">
        <f t="shared" si="7"/>
        <v>0</v>
      </c>
    </row>
    <row r="30" spans="1:13" ht="14.25">
      <c r="A30" s="1192">
        <v>25</v>
      </c>
      <c r="B30" s="1192" t="s">
        <v>933</v>
      </c>
      <c r="C30" s="1358">
        <f>[14]Sheet1!$I29</f>
        <v>12</v>
      </c>
      <c r="D30" s="1358">
        <f>'[16]Final 2-1-12 SIS'!$Q35</f>
        <v>3</v>
      </c>
      <c r="E30" s="1359">
        <f t="shared" si="1"/>
        <v>-9</v>
      </c>
      <c r="F30" s="1359">
        <f t="shared" si="2"/>
        <v>0</v>
      </c>
      <c r="G30" s="1359">
        <f t="shared" si="3"/>
        <v>-9</v>
      </c>
      <c r="H30" s="1361">
        <f>'Table 5C2 - LA Virtual Admy '!D29</f>
        <v>3300.5809626555911</v>
      </c>
      <c r="I30" s="1361">
        <f>'Table 5C2 - LA Virtual Admy '!F29</f>
        <v>588.35700000000008</v>
      </c>
      <c r="J30" s="1361">
        <f t="shared" si="4"/>
        <v>1944.4689813277955</v>
      </c>
      <c r="K30" s="1362">
        <f t="shared" si="5"/>
        <v>-17500.220831950159</v>
      </c>
      <c r="L30" s="1366">
        <f t="shared" si="6"/>
        <v>0</v>
      </c>
      <c r="M30" s="1366">
        <f t="shared" si="7"/>
        <v>-17500.220831950159</v>
      </c>
    </row>
    <row r="31" spans="1:13" ht="14.25">
      <c r="A31" s="1186">
        <v>26</v>
      </c>
      <c r="B31" s="1186" t="s">
        <v>663</v>
      </c>
      <c r="C31" s="1351">
        <f>[14]Sheet1!$I30</f>
        <v>89</v>
      </c>
      <c r="D31" s="1351">
        <f>'[16]Final 2-1-12 SIS'!$Q36</f>
        <v>89</v>
      </c>
      <c r="E31" s="1352">
        <f t="shared" si="1"/>
        <v>0</v>
      </c>
      <c r="F31" s="1352">
        <f t="shared" si="2"/>
        <v>0</v>
      </c>
      <c r="G31" s="1352">
        <f t="shared" si="3"/>
        <v>0</v>
      </c>
      <c r="H31" s="1353">
        <f>'Table 5C2 - LA Virtual Admy '!D30</f>
        <v>2835.3131108817151</v>
      </c>
      <c r="I31" s="1353">
        <f>'Table 5C2 - LA Virtual Admy '!F30</f>
        <v>753.14700000000005</v>
      </c>
      <c r="J31" s="1353">
        <f t="shared" si="4"/>
        <v>1794.2300554408575</v>
      </c>
      <c r="K31" s="1354">
        <f t="shared" si="5"/>
        <v>0</v>
      </c>
      <c r="L31" s="1365">
        <f t="shared" si="6"/>
        <v>0</v>
      </c>
      <c r="M31" s="1365">
        <f t="shared" si="7"/>
        <v>0</v>
      </c>
    </row>
    <row r="32" spans="1:13" ht="14.25">
      <c r="A32" s="1186">
        <v>27</v>
      </c>
      <c r="B32" s="1186" t="s">
        <v>934</v>
      </c>
      <c r="C32" s="1351">
        <f>[14]Sheet1!$I31</f>
        <v>2</v>
      </c>
      <c r="D32" s="1351">
        <f>'[16]Final 2-1-12 SIS'!$Q37</f>
        <v>3</v>
      </c>
      <c r="E32" s="1352">
        <f t="shared" si="1"/>
        <v>1</v>
      </c>
      <c r="F32" s="1352">
        <f t="shared" si="2"/>
        <v>1</v>
      </c>
      <c r="G32" s="1352">
        <f t="shared" si="3"/>
        <v>0</v>
      </c>
      <c r="H32" s="1353">
        <f>'Table 5C2 - LA Virtual Admy '!D31</f>
        <v>5143.5016903089836</v>
      </c>
      <c r="I32" s="1353">
        <f>'Table 5C2 - LA Virtual Admy '!F31</f>
        <v>623.75400000000002</v>
      </c>
      <c r="J32" s="1353">
        <f t="shared" si="4"/>
        <v>2883.6278451544918</v>
      </c>
      <c r="K32" s="1354">
        <f t="shared" si="5"/>
        <v>2883.6278451544918</v>
      </c>
      <c r="L32" s="1365">
        <f t="shared" si="6"/>
        <v>2883.6278451544918</v>
      </c>
      <c r="M32" s="1365">
        <f t="shared" si="7"/>
        <v>0</v>
      </c>
    </row>
    <row r="33" spans="1:13" ht="14.25">
      <c r="A33" s="1186">
        <v>28</v>
      </c>
      <c r="B33" s="1186" t="s">
        <v>935</v>
      </c>
      <c r="C33" s="1355">
        <f>[14]Sheet1!$I32</f>
        <v>57</v>
      </c>
      <c r="D33" s="1355">
        <f>'[16]Final 2-1-12 SIS'!$Q38</f>
        <v>52</v>
      </c>
      <c r="E33" s="1352">
        <f t="shared" si="1"/>
        <v>-5</v>
      </c>
      <c r="F33" s="1352">
        <f t="shared" si="2"/>
        <v>0</v>
      </c>
      <c r="G33" s="1352">
        <f t="shared" si="3"/>
        <v>-5</v>
      </c>
      <c r="H33" s="1356">
        <f>'Table 5C2 - LA Virtual Admy '!D32</f>
        <v>3030.6109760091736</v>
      </c>
      <c r="I33" s="1356">
        <f>'Table 5C2 - LA Virtual Admy '!F32</f>
        <v>624.96</v>
      </c>
      <c r="J33" s="1356">
        <f t="shared" si="4"/>
        <v>1827.7854880045868</v>
      </c>
      <c r="K33" s="1354">
        <f t="shared" si="5"/>
        <v>-9138.9274400229333</v>
      </c>
      <c r="L33" s="1365">
        <f t="shared" si="6"/>
        <v>0</v>
      </c>
      <c r="M33" s="1365">
        <f t="shared" si="7"/>
        <v>-9138.9274400229333</v>
      </c>
    </row>
    <row r="34" spans="1:13" ht="14.25">
      <c r="A34" s="1186">
        <v>29</v>
      </c>
      <c r="B34" s="1186" t="s">
        <v>936</v>
      </c>
      <c r="C34" s="1355">
        <f>[14]Sheet1!$I33</f>
        <v>21</v>
      </c>
      <c r="D34" s="1355">
        <f>'[16]Final 2-1-12 SIS'!$Q39</f>
        <v>17</v>
      </c>
      <c r="E34" s="1352">
        <f t="shared" si="1"/>
        <v>-4</v>
      </c>
      <c r="F34" s="1352">
        <f t="shared" si="2"/>
        <v>0</v>
      </c>
      <c r="G34" s="1352">
        <f t="shared" si="3"/>
        <v>-4</v>
      </c>
      <c r="H34" s="1356">
        <f>'Table 5C2 - LA Virtual Admy '!D33</f>
        <v>3779.8345012024251</v>
      </c>
      <c r="I34" s="1356">
        <f>'Table 5C2 - LA Virtual Admy '!F33</f>
        <v>679.45499999999993</v>
      </c>
      <c r="J34" s="1356">
        <f t="shared" si="4"/>
        <v>2229.6447506012128</v>
      </c>
      <c r="K34" s="1354">
        <f t="shared" si="5"/>
        <v>-8918.5790024048511</v>
      </c>
      <c r="L34" s="1365">
        <f t="shared" si="6"/>
        <v>0</v>
      </c>
      <c r="M34" s="1365">
        <f t="shared" si="7"/>
        <v>-8918.5790024048511</v>
      </c>
    </row>
    <row r="35" spans="1:13" ht="14.25">
      <c r="A35" s="1192">
        <v>30</v>
      </c>
      <c r="B35" s="1192" t="s">
        <v>937</v>
      </c>
      <c r="C35" s="1358">
        <f>[14]Sheet1!$I34</f>
        <v>3</v>
      </c>
      <c r="D35" s="1358">
        <f>'[16]Final 2-1-12 SIS'!$Q40</f>
        <v>1</v>
      </c>
      <c r="E35" s="1359">
        <f t="shared" si="1"/>
        <v>-2</v>
      </c>
      <c r="F35" s="1359">
        <f t="shared" si="2"/>
        <v>0</v>
      </c>
      <c r="G35" s="1359">
        <f t="shared" si="3"/>
        <v>-2</v>
      </c>
      <c r="H35" s="1361">
        <f>'Table 5C2 - LA Virtual Admy '!D34</f>
        <v>5203.3716856082956</v>
      </c>
      <c r="I35" s="1361">
        <f>'Table 5C2 - LA Virtual Admy '!F34</f>
        <v>654.45299999999997</v>
      </c>
      <c r="J35" s="1361">
        <f t="shared" si="4"/>
        <v>2928.9123428041476</v>
      </c>
      <c r="K35" s="1362">
        <f t="shared" si="5"/>
        <v>-5857.8246856082951</v>
      </c>
      <c r="L35" s="1366">
        <f t="shared" si="6"/>
        <v>0</v>
      </c>
      <c r="M35" s="1366">
        <f t="shared" si="7"/>
        <v>-5857.8246856082951</v>
      </c>
    </row>
    <row r="36" spans="1:13" ht="14.25">
      <c r="A36" s="1186">
        <v>31</v>
      </c>
      <c r="B36" s="1186" t="s">
        <v>654</v>
      </c>
      <c r="C36" s="1351">
        <f>[14]Sheet1!$I35</f>
        <v>4</v>
      </c>
      <c r="D36" s="1351">
        <f>'[16]Final 2-1-12 SIS'!$Q41</f>
        <v>5</v>
      </c>
      <c r="E36" s="1352">
        <f t="shared" si="1"/>
        <v>1</v>
      </c>
      <c r="F36" s="1352">
        <f t="shared" si="2"/>
        <v>1</v>
      </c>
      <c r="G36" s="1352">
        <f t="shared" si="3"/>
        <v>0</v>
      </c>
      <c r="H36" s="1353">
        <f>'Table 5C2 - LA Virtual Admy '!D35</f>
        <v>3809.5955572598205</v>
      </c>
      <c r="I36" s="1353">
        <f>'Table 5C2 - LA Virtual Admy '!F35</f>
        <v>558.74700000000007</v>
      </c>
      <c r="J36" s="1353">
        <f t="shared" si="4"/>
        <v>2184.1712786299104</v>
      </c>
      <c r="K36" s="1354">
        <f t="shared" si="5"/>
        <v>2184.1712786299104</v>
      </c>
      <c r="L36" s="1365">
        <f t="shared" si="6"/>
        <v>2184.1712786299104</v>
      </c>
      <c r="M36" s="1365">
        <f t="shared" si="7"/>
        <v>0</v>
      </c>
    </row>
    <row r="37" spans="1:13" ht="14.25">
      <c r="A37" s="1186">
        <v>32</v>
      </c>
      <c r="B37" s="1186" t="s">
        <v>640</v>
      </c>
      <c r="C37" s="1351">
        <f>[14]Sheet1!$I36</f>
        <v>35</v>
      </c>
      <c r="D37" s="1351">
        <f>'[16]Final 2-1-12 SIS'!$Q42</f>
        <v>33</v>
      </c>
      <c r="E37" s="1352">
        <f t="shared" si="1"/>
        <v>-2</v>
      </c>
      <c r="F37" s="1352">
        <f t="shared" si="2"/>
        <v>0</v>
      </c>
      <c r="G37" s="1352">
        <f t="shared" si="3"/>
        <v>-2</v>
      </c>
      <c r="H37" s="1353">
        <f>'Table 5C2 - LA Virtual Admy '!D36</f>
        <v>4878.1056037962908</v>
      </c>
      <c r="I37" s="1353">
        <f>'Table 5C2 - LA Virtual Admy '!F36</f>
        <v>503.79300000000001</v>
      </c>
      <c r="J37" s="1353">
        <f t="shared" si="4"/>
        <v>2690.9493018981452</v>
      </c>
      <c r="K37" s="1354">
        <f t="shared" si="5"/>
        <v>-5381.8986037962904</v>
      </c>
      <c r="L37" s="1365">
        <f t="shared" si="6"/>
        <v>0</v>
      </c>
      <c r="M37" s="1365">
        <f t="shared" si="7"/>
        <v>-5381.8986037962904</v>
      </c>
    </row>
    <row r="38" spans="1:13" ht="14.25">
      <c r="A38" s="1186">
        <v>33</v>
      </c>
      <c r="B38" s="1186" t="s">
        <v>938</v>
      </c>
      <c r="C38" s="1355">
        <f>[14]Sheet1!$I37</f>
        <v>3</v>
      </c>
      <c r="D38" s="1355">
        <f>'[16]Final 2-1-12 SIS'!$Q43</f>
        <v>9</v>
      </c>
      <c r="E38" s="1352">
        <f t="shared" si="1"/>
        <v>6</v>
      </c>
      <c r="F38" s="1352">
        <f t="shared" si="2"/>
        <v>6</v>
      </c>
      <c r="G38" s="1352">
        <f t="shared" si="3"/>
        <v>0</v>
      </c>
      <c r="H38" s="1356">
        <f>'Table 5C2 - LA Virtual Admy '!D37</f>
        <v>5150.6824273781667</v>
      </c>
      <c r="I38" s="1356">
        <f>'Table 5C2 - LA Virtual Admy '!F37</f>
        <v>589.77900000000011</v>
      </c>
      <c r="J38" s="1356">
        <f t="shared" si="4"/>
        <v>2870.2307136890836</v>
      </c>
      <c r="K38" s="1354">
        <f t="shared" si="5"/>
        <v>17221.384282134502</v>
      </c>
      <c r="L38" s="1365">
        <f t="shared" si="6"/>
        <v>17221.384282134502</v>
      </c>
      <c r="M38" s="1365">
        <f t="shared" si="7"/>
        <v>0</v>
      </c>
    </row>
    <row r="39" spans="1:13" ht="14.25">
      <c r="A39" s="1186">
        <v>34</v>
      </c>
      <c r="B39" s="1186" t="s">
        <v>939</v>
      </c>
      <c r="C39" s="1355">
        <f>[14]Sheet1!$I38</f>
        <v>15</v>
      </c>
      <c r="D39" s="1355">
        <f>'[16]Final 2-1-12 SIS'!$Q44</f>
        <v>11</v>
      </c>
      <c r="E39" s="1352">
        <f t="shared" si="1"/>
        <v>-4</v>
      </c>
      <c r="F39" s="1352">
        <f t="shared" si="2"/>
        <v>0</v>
      </c>
      <c r="G39" s="1352">
        <f t="shared" si="3"/>
        <v>-4</v>
      </c>
      <c r="H39" s="1356">
        <f>'Table 5C2 - LA Virtual Admy '!D38</f>
        <v>5188.309170721649</v>
      </c>
      <c r="I39" s="1356">
        <f>'Table 5C2 - LA Virtual Admy '!F38</f>
        <v>579.69900000000018</v>
      </c>
      <c r="J39" s="1356">
        <f t="shared" si="4"/>
        <v>2884.0040853608248</v>
      </c>
      <c r="K39" s="1354">
        <f t="shared" si="5"/>
        <v>-11536.016341443299</v>
      </c>
      <c r="L39" s="1365">
        <f t="shared" si="6"/>
        <v>0</v>
      </c>
      <c r="M39" s="1365">
        <f t="shared" si="7"/>
        <v>-11536.016341443299</v>
      </c>
    </row>
    <row r="40" spans="1:13" ht="14.25">
      <c r="A40" s="1192">
        <v>35</v>
      </c>
      <c r="B40" s="1192" t="s">
        <v>940</v>
      </c>
      <c r="C40" s="1358">
        <f>[14]Sheet1!$I39</f>
        <v>11</v>
      </c>
      <c r="D40" s="1358">
        <f>'[16]Final 2-1-12 SIS'!$Q45</f>
        <v>8</v>
      </c>
      <c r="E40" s="1359">
        <f t="shared" si="1"/>
        <v>-3</v>
      </c>
      <c r="F40" s="1359">
        <f t="shared" si="2"/>
        <v>0</v>
      </c>
      <c r="G40" s="1359">
        <f t="shared" si="3"/>
        <v>-3</v>
      </c>
      <c r="H40" s="1361">
        <f>'Table 5C2 - LA Virtual Admy '!D39</f>
        <v>4468.1274864201305</v>
      </c>
      <c r="I40" s="1361">
        <f>'Table 5C2 - LA Virtual Admy '!F39</f>
        <v>484.16400000000004</v>
      </c>
      <c r="J40" s="1361">
        <f t="shared" si="4"/>
        <v>2476.1457432100651</v>
      </c>
      <c r="K40" s="1362">
        <f t="shared" si="5"/>
        <v>-7428.4372296301954</v>
      </c>
      <c r="L40" s="1366">
        <f t="shared" si="6"/>
        <v>0</v>
      </c>
      <c r="M40" s="1366">
        <f t="shared" si="7"/>
        <v>-7428.4372296301954</v>
      </c>
    </row>
    <row r="41" spans="1:13" ht="14.25">
      <c r="A41" s="1186">
        <v>36</v>
      </c>
      <c r="B41" s="1186" t="s">
        <v>662</v>
      </c>
      <c r="C41" s="1355">
        <f>[14]Sheet1!$I40</f>
        <v>81</v>
      </c>
      <c r="D41" s="1355">
        <f>'[16]Final 2-1-12 SIS'!$Q46</f>
        <v>80</v>
      </c>
      <c r="E41" s="1352">
        <f t="shared" si="1"/>
        <v>-1</v>
      </c>
      <c r="F41" s="1352">
        <f t="shared" si="2"/>
        <v>0</v>
      </c>
      <c r="G41" s="1352">
        <f t="shared" si="3"/>
        <v>-1</v>
      </c>
      <c r="H41" s="1356">
        <f>'Table 5C2 - LA Virtual Admy '!D40</f>
        <v>2926.8243863744597</v>
      </c>
      <c r="I41" s="1356">
        <f>'Table 5C2 - LA Virtual Admy '!F40</f>
        <v>671.43020547945218</v>
      </c>
      <c r="J41" s="1356">
        <f t="shared" si="4"/>
        <v>1799.1272959269559</v>
      </c>
      <c r="K41" s="1354">
        <f t="shared" si="5"/>
        <v>-1799.1272959269559</v>
      </c>
      <c r="L41" s="1365">
        <f t="shared" si="6"/>
        <v>0</v>
      </c>
      <c r="M41" s="1365">
        <f t="shared" si="7"/>
        <v>-1799.1272959269559</v>
      </c>
    </row>
    <row r="42" spans="1:13" ht="14.25">
      <c r="A42" s="1186">
        <v>37</v>
      </c>
      <c r="B42" s="1186" t="s">
        <v>653</v>
      </c>
      <c r="C42" s="1351">
        <f>[14]Sheet1!$I41</f>
        <v>18</v>
      </c>
      <c r="D42" s="1351">
        <f>'[16]Final 2-1-12 SIS'!$Q47</f>
        <v>17</v>
      </c>
      <c r="E42" s="1352">
        <f t="shared" si="1"/>
        <v>-1</v>
      </c>
      <c r="F42" s="1352">
        <f t="shared" si="2"/>
        <v>0</v>
      </c>
      <c r="G42" s="1352">
        <f t="shared" si="3"/>
        <v>-1</v>
      </c>
      <c r="H42" s="1353">
        <f>'Table 5C2 - LA Virtual Admy '!D41</f>
        <v>4924.8804762576674</v>
      </c>
      <c r="I42" s="1353">
        <f>'Table 5C2 - LA Virtual Admy '!F41</f>
        <v>588.24900000000002</v>
      </c>
      <c r="J42" s="1353">
        <f t="shared" si="4"/>
        <v>2756.5647381288336</v>
      </c>
      <c r="K42" s="1354">
        <f t="shared" si="5"/>
        <v>-2756.5647381288336</v>
      </c>
      <c r="L42" s="1365">
        <f t="shared" si="6"/>
        <v>0</v>
      </c>
      <c r="M42" s="1365">
        <f t="shared" si="7"/>
        <v>-2756.5647381288336</v>
      </c>
    </row>
    <row r="43" spans="1:13" ht="14.25">
      <c r="A43" s="1186">
        <v>38</v>
      </c>
      <c r="B43" s="1186" t="s">
        <v>673</v>
      </c>
      <c r="C43" s="1355">
        <f>[14]Sheet1!$I42</f>
        <v>5</v>
      </c>
      <c r="D43" s="1355">
        <f>'[16]Final 2-1-12 SIS'!$Q48</f>
        <v>4</v>
      </c>
      <c r="E43" s="1352">
        <f t="shared" si="1"/>
        <v>-1</v>
      </c>
      <c r="F43" s="1352">
        <f t="shared" si="2"/>
        <v>0</v>
      </c>
      <c r="G43" s="1352">
        <f t="shared" si="3"/>
        <v>-1</v>
      </c>
      <c r="H43" s="1353">
        <f>'Table 5C2 - LA Virtual Admy '!D42</f>
        <v>2156.9024476931331</v>
      </c>
      <c r="I43" s="1353">
        <f>'Table 5C2 - LA Virtual Admy '!F42</f>
        <v>746.92800000000011</v>
      </c>
      <c r="J43" s="1356">
        <f t="shared" si="4"/>
        <v>1451.9152238465667</v>
      </c>
      <c r="K43" s="1354">
        <f t="shared" si="5"/>
        <v>-1451.9152238465667</v>
      </c>
      <c r="L43" s="1365">
        <f t="shared" si="6"/>
        <v>0</v>
      </c>
      <c r="M43" s="1365">
        <f t="shared" si="7"/>
        <v>-1451.9152238465667</v>
      </c>
    </row>
    <row r="44" spans="1:13" ht="14.25">
      <c r="A44" s="1186">
        <v>39</v>
      </c>
      <c r="B44" s="1186" t="s">
        <v>941</v>
      </c>
      <c r="C44" s="1355">
        <f>[14]Sheet1!$I43</f>
        <v>9</v>
      </c>
      <c r="D44" s="1355">
        <f>'[16]Final 2-1-12 SIS'!$Q49</f>
        <v>8</v>
      </c>
      <c r="E44" s="1352">
        <f t="shared" si="1"/>
        <v>-1</v>
      </c>
      <c r="F44" s="1352">
        <f t="shared" si="2"/>
        <v>0</v>
      </c>
      <c r="G44" s="1352">
        <f t="shared" si="3"/>
        <v>-1</v>
      </c>
      <c r="H44" s="1356">
        <f>'Table 5C2 - LA Virtual Admy '!D43</f>
        <v>3271.7738389265178</v>
      </c>
      <c r="I44" s="1356">
        <f>'Table 5C2 - LA Virtual Admy '!F43</f>
        <v>701.69015738498797</v>
      </c>
      <c r="J44" s="1356">
        <f t="shared" si="4"/>
        <v>1986.731998155753</v>
      </c>
      <c r="K44" s="1354">
        <f t="shared" si="5"/>
        <v>-1986.731998155753</v>
      </c>
      <c r="L44" s="1365">
        <f t="shared" si="6"/>
        <v>0</v>
      </c>
      <c r="M44" s="1365">
        <f t="shared" si="7"/>
        <v>-1986.731998155753</v>
      </c>
    </row>
    <row r="45" spans="1:13" ht="14.25">
      <c r="A45" s="1192">
        <v>40</v>
      </c>
      <c r="B45" s="1192" t="s">
        <v>942</v>
      </c>
      <c r="C45" s="1358">
        <f>[14]Sheet1!$I44</f>
        <v>31</v>
      </c>
      <c r="D45" s="1358">
        <f>'[16]Final 2-1-12 SIS'!$Q50</f>
        <v>40</v>
      </c>
      <c r="E45" s="1359">
        <f t="shared" si="1"/>
        <v>9</v>
      </c>
      <c r="F45" s="1359">
        <f t="shared" si="2"/>
        <v>9</v>
      </c>
      <c r="G45" s="1359">
        <f t="shared" si="3"/>
        <v>0</v>
      </c>
      <c r="H45" s="1361">
        <f>'Table 5C2 - LA Virtual Admy '!D44</f>
        <v>4318.8915815212367</v>
      </c>
      <c r="I45" s="1361">
        <f>'Table 5C2 - LA Virtual Admy '!F44</f>
        <v>630.24300000000005</v>
      </c>
      <c r="J45" s="1361">
        <f t="shared" si="4"/>
        <v>2474.5672907606186</v>
      </c>
      <c r="K45" s="1362">
        <f t="shared" si="5"/>
        <v>22271.105616845569</v>
      </c>
      <c r="L45" s="1366">
        <f t="shared" si="6"/>
        <v>22271.105616845569</v>
      </c>
      <c r="M45" s="1366">
        <f t="shared" si="7"/>
        <v>0</v>
      </c>
    </row>
    <row r="46" spans="1:13" ht="14.25">
      <c r="A46" s="1186">
        <v>41</v>
      </c>
      <c r="B46" s="1186" t="s">
        <v>943</v>
      </c>
      <c r="C46" s="1351">
        <f>[14]Sheet1!$I45</f>
        <v>3</v>
      </c>
      <c r="D46" s="1351">
        <f>'[16]Final 2-1-12 SIS'!$Q51</f>
        <v>2</v>
      </c>
      <c r="E46" s="1352">
        <f t="shared" si="1"/>
        <v>-1</v>
      </c>
      <c r="F46" s="1352">
        <f t="shared" si="2"/>
        <v>0</v>
      </c>
      <c r="G46" s="1352">
        <f t="shared" si="3"/>
        <v>-1</v>
      </c>
      <c r="H46" s="1353">
        <f>'Table 5C2 - LA Virtual Admy '!D45</f>
        <v>2023.0154811715481</v>
      </c>
      <c r="I46" s="1353">
        <f>'Table 5C2 - LA Virtual Admy '!F45</f>
        <v>797.59800000000007</v>
      </c>
      <c r="J46" s="1353">
        <f t="shared" si="4"/>
        <v>1410.3067405857742</v>
      </c>
      <c r="K46" s="1354">
        <f t="shared" si="5"/>
        <v>-1410.3067405857742</v>
      </c>
      <c r="L46" s="1365">
        <f t="shared" si="6"/>
        <v>0</v>
      </c>
      <c r="M46" s="1365">
        <f t="shared" si="7"/>
        <v>-1410.3067405857742</v>
      </c>
    </row>
    <row r="47" spans="1:13" ht="14.25">
      <c r="A47" s="1186">
        <v>42</v>
      </c>
      <c r="B47" s="1186" t="s">
        <v>944</v>
      </c>
      <c r="C47" s="1351">
        <f>[14]Sheet1!$I46</f>
        <v>13</v>
      </c>
      <c r="D47" s="1351">
        <f>'[16]Final 2-1-12 SIS'!$Q52</f>
        <v>11</v>
      </c>
      <c r="E47" s="1352">
        <f t="shared" si="1"/>
        <v>-2</v>
      </c>
      <c r="F47" s="1352">
        <f t="shared" si="2"/>
        <v>0</v>
      </c>
      <c r="G47" s="1352">
        <f t="shared" si="3"/>
        <v>-2</v>
      </c>
      <c r="H47" s="1353">
        <f>'Table 5C2 - LA Virtual Admy '!D46</f>
        <v>4950.977089527617</v>
      </c>
      <c r="I47" s="1353">
        <f>'Table 5C2 - LA Virtual Admy '!F46</f>
        <v>480.85199999999998</v>
      </c>
      <c r="J47" s="1353">
        <f t="shared" si="4"/>
        <v>2715.9145447638084</v>
      </c>
      <c r="K47" s="1354">
        <f t="shared" si="5"/>
        <v>-5431.8290895276168</v>
      </c>
      <c r="L47" s="1365">
        <f t="shared" si="6"/>
        <v>0</v>
      </c>
      <c r="M47" s="1365">
        <f t="shared" si="7"/>
        <v>-5431.8290895276168</v>
      </c>
    </row>
    <row r="48" spans="1:13" ht="14.25">
      <c r="A48" s="1186">
        <v>43</v>
      </c>
      <c r="B48" s="1186" t="s">
        <v>945</v>
      </c>
      <c r="C48" s="1355">
        <f>[14]Sheet1!$I47</f>
        <v>14</v>
      </c>
      <c r="D48" s="1355">
        <f>'[16]Final 2-1-12 SIS'!$Q53</f>
        <v>12</v>
      </c>
      <c r="E48" s="1352">
        <f t="shared" si="1"/>
        <v>-2</v>
      </c>
      <c r="F48" s="1352">
        <f t="shared" si="2"/>
        <v>0</v>
      </c>
      <c r="G48" s="1352">
        <f t="shared" si="3"/>
        <v>-2</v>
      </c>
      <c r="H48" s="1356">
        <f>'Table 5C2 - LA Virtual Admy '!D47</f>
        <v>5366.323998911892</v>
      </c>
      <c r="I48" s="1356">
        <f>'Table 5C2 - LA Virtual Admy '!F47</f>
        <v>517.14899999999989</v>
      </c>
      <c r="J48" s="1356">
        <f t="shared" si="4"/>
        <v>2941.7364994559457</v>
      </c>
      <c r="K48" s="1354">
        <f t="shared" si="5"/>
        <v>-5883.4729989118914</v>
      </c>
      <c r="L48" s="1365">
        <f t="shared" si="6"/>
        <v>0</v>
      </c>
      <c r="M48" s="1365">
        <f t="shared" si="7"/>
        <v>-5883.4729989118914</v>
      </c>
    </row>
    <row r="49" spans="1:13" ht="14.25">
      <c r="A49" s="1186">
        <v>44</v>
      </c>
      <c r="B49" s="1186" t="s">
        <v>664</v>
      </c>
      <c r="C49" s="1355">
        <f>[14]Sheet1!$I48</f>
        <v>5</v>
      </c>
      <c r="D49" s="1355">
        <f>'[16]Final 2-1-12 SIS'!$Q54</f>
        <v>4</v>
      </c>
      <c r="E49" s="1352">
        <f t="shared" si="1"/>
        <v>-1</v>
      </c>
      <c r="F49" s="1352">
        <f t="shared" si="2"/>
        <v>0</v>
      </c>
      <c r="G49" s="1352">
        <f t="shared" si="3"/>
        <v>-1</v>
      </c>
      <c r="H49" s="1356">
        <f>'Table 5C2 - LA Virtual Admy '!D48</f>
        <v>3921.5191182073468</v>
      </c>
      <c r="I49" s="1356">
        <f>'Table 5C2 - LA Virtual Admy '!F48</f>
        <v>596.84400000000005</v>
      </c>
      <c r="J49" s="1356">
        <f t="shared" si="4"/>
        <v>2259.1815591036734</v>
      </c>
      <c r="K49" s="1354">
        <f t="shared" si="5"/>
        <v>-2259.1815591036734</v>
      </c>
      <c r="L49" s="1365">
        <f t="shared" si="6"/>
        <v>0</v>
      </c>
      <c r="M49" s="1365">
        <f t="shared" si="7"/>
        <v>-2259.1815591036734</v>
      </c>
    </row>
    <row r="50" spans="1:13" ht="14.25">
      <c r="A50" s="1192">
        <v>45</v>
      </c>
      <c r="B50" s="1192" t="s">
        <v>665</v>
      </c>
      <c r="C50" s="1358">
        <f>[14]Sheet1!$I49</f>
        <v>2</v>
      </c>
      <c r="D50" s="1358">
        <f>'[16]Final 2-1-12 SIS'!$Q55</f>
        <v>2</v>
      </c>
      <c r="E50" s="1359">
        <f t="shared" si="1"/>
        <v>0</v>
      </c>
      <c r="F50" s="1359">
        <f t="shared" si="2"/>
        <v>0</v>
      </c>
      <c r="G50" s="1359">
        <f t="shared" si="3"/>
        <v>0</v>
      </c>
      <c r="H50" s="1361">
        <f>'Table 5C2 - LA Virtual Admy '!D49</f>
        <v>2187.4313891834572</v>
      </c>
      <c r="I50" s="1361">
        <f>'Table 5C2 - LA Virtual Admy '!F49</f>
        <v>678.56400000000019</v>
      </c>
      <c r="J50" s="1361">
        <f t="shared" si="4"/>
        <v>1432.9976945917288</v>
      </c>
      <c r="K50" s="1362">
        <f t="shared" si="5"/>
        <v>0</v>
      </c>
      <c r="L50" s="1366">
        <f t="shared" si="6"/>
        <v>0</v>
      </c>
      <c r="M50" s="1366">
        <f t="shared" si="7"/>
        <v>0</v>
      </c>
    </row>
    <row r="51" spans="1:13" ht="14.25">
      <c r="A51" s="1186">
        <v>46</v>
      </c>
      <c r="B51" s="1186" t="s">
        <v>946</v>
      </c>
      <c r="C51" s="1351">
        <f>[14]Sheet1!$I50</f>
        <v>4</v>
      </c>
      <c r="D51" s="1351">
        <f>'[16]Final 2-1-12 SIS'!$Q56</f>
        <v>8</v>
      </c>
      <c r="E51" s="1352">
        <f t="shared" si="1"/>
        <v>4</v>
      </c>
      <c r="F51" s="1352">
        <f t="shared" si="2"/>
        <v>4</v>
      </c>
      <c r="G51" s="1352">
        <f t="shared" si="3"/>
        <v>0</v>
      </c>
      <c r="H51" s="1356">
        <f>'Table 5C2 - LA Virtual Admy '!D50</f>
        <v>5221.8999089820491</v>
      </c>
      <c r="I51" s="1356">
        <f>'Table 5C2 - LA Virtual Admy '!F50</f>
        <v>655.25400000000002</v>
      </c>
      <c r="J51" s="1353">
        <f t="shared" si="4"/>
        <v>2938.5769544910245</v>
      </c>
      <c r="K51" s="1354">
        <f t="shared" si="5"/>
        <v>11754.307817964098</v>
      </c>
      <c r="L51" s="1365">
        <f t="shared" si="6"/>
        <v>11754.307817964098</v>
      </c>
      <c r="M51" s="1365">
        <f t="shared" si="7"/>
        <v>0</v>
      </c>
    </row>
    <row r="52" spans="1:13" ht="14.25">
      <c r="A52" s="1186">
        <v>47</v>
      </c>
      <c r="B52" s="1186" t="s">
        <v>947</v>
      </c>
      <c r="C52" s="1351">
        <f>[14]Sheet1!$I51</f>
        <v>4</v>
      </c>
      <c r="D52" s="1351">
        <f>'[16]Final 2-1-12 SIS'!$Q57</f>
        <v>5</v>
      </c>
      <c r="E52" s="1352">
        <f t="shared" si="1"/>
        <v>1</v>
      </c>
      <c r="F52" s="1352">
        <f t="shared" si="2"/>
        <v>1</v>
      </c>
      <c r="G52" s="1352">
        <f t="shared" si="3"/>
        <v>0</v>
      </c>
      <c r="H52" s="1353">
        <f>'Table 5C2 - LA Virtual Admy '!D51</f>
        <v>3098.1307624872338</v>
      </c>
      <c r="I52" s="1353">
        <f>'Table 5C2 - LA Virtual Admy '!F51</f>
        <v>819.68399999999997</v>
      </c>
      <c r="J52" s="1353">
        <f t="shared" si="4"/>
        <v>1958.9073812436168</v>
      </c>
      <c r="K52" s="1354">
        <f t="shared" si="5"/>
        <v>1958.9073812436168</v>
      </c>
      <c r="L52" s="1365">
        <f t="shared" si="6"/>
        <v>1958.9073812436168</v>
      </c>
      <c r="M52" s="1365">
        <f t="shared" si="7"/>
        <v>0</v>
      </c>
    </row>
    <row r="53" spans="1:13" ht="14.25">
      <c r="A53" s="1186">
        <v>48</v>
      </c>
      <c r="B53" s="1186" t="s">
        <v>948</v>
      </c>
      <c r="C53" s="1355">
        <f>[14]Sheet1!$I52</f>
        <v>10</v>
      </c>
      <c r="D53" s="1355">
        <f>'[16]Final 2-1-12 SIS'!$Q58</f>
        <v>10</v>
      </c>
      <c r="E53" s="1352">
        <f t="shared" si="1"/>
        <v>0</v>
      </c>
      <c r="F53" s="1352">
        <f t="shared" si="2"/>
        <v>0</v>
      </c>
      <c r="G53" s="1352">
        <f t="shared" si="3"/>
        <v>0</v>
      </c>
      <c r="H53" s="1356">
        <f>'Table 5C2 - LA Virtual Admy '!D52</f>
        <v>3116.6706997342021</v>
      </c>
      <c r="I53" s="1356">
        <f>'Table 5C2 - LA Virtual Admy '!F52</f>
        <v>783.96300000000008</v>
      </c>
      <c r="J53" s="1356">
        <f t="shared" si="4"/>
        <v>1950.3168498671012</v>
      </c>
      <c r="K53" s="1354">
        <f t="shared" si="5"/>
        <v>0</v>
      </c>
      <c r="L53" s="1365">
        <f t="shared" si="6"/>
        <v>0</v>
      </c>
      <c r="M53" s="1365">
        <f t="shared" si="7"/>
        <v>0</v>
      </c>
    </row>
    <row r="54" spans="1:13" ht="14.25">
      <c r="A54" s="1186">
        <v>49</v>
      </c>
      <c r="B54" s="1186" t="s">
        <v>949</v>
      </c>
      <c r="C54" s="1355">
        <f>[14]Sheet1!$I53</f>
        <v>46</v>
      </c>
      <c r="D54" s="1355">
        <f>'[16]Final 2-1-12 SIS'!$Q59</f>
        <v>49</v>
      </c>
      <c r="E54" s="1352">
        <f t="shared" si="1"/>
        <v>3</v>
      </c>
      <c r="F54" s="1352">
        <f t="shared" si="2"/>
        <v>3</v>
      </c>
      <c r="G54" s="1352">
        <f t="shared" si="3"/>
        <v>0</v>
      </c>
      <c r="H54" s="1356">
        <f>'Table 5C2 - LA Virtual Admy '!D53</f>
        <v>4382.8223958618019</v>
      </c>
      <c r="I54" s="1356">
        <f>'Table 5C2 - LA Virtual Admy '!F53</f>
        <v>516.99599999999998</v>
      </c>
      <c r="J54" s="1356">
        <f t="shared" si="4"/>
        <v>2449.909197930901</v>
      </c>
      <c r="K54" s="1354">
        <f t="shared" si="5"/>
        <v>7349.7275937927025</v>
      </c>
      <c r="L54" s="1365">
        <f t="shared" si="6"/>
        <v>7349.7275937927025</v>
      </c>
      <c r="M54" s="1365">
        <f t="shared" si="7"/>
        <v>0</v>
      </c>
    </row>
    <row r="55" spans="1:13" ht="14.25">
      <c r="A55" s="1192">
        <v>50</v>
      </c>
      <c r="B55" s="1192" t="s">
        <v>950</v>
      </c>
      <c r="C55" s="1358">
        <f>[14]Sheet1!$I54</f>
        <v>11</v>
      </c>
      <c r="D55" s="1358">
        <f>'[16]Final 2-1-12 SIS'!$Q60</f>
        <v>10</v>
      </c>
      <c r="E55" s="1359">
        <f t="shared" si="1"/>
        <v>-1</v>
      </c>
      <c r="F55" s="1359">
        <f t="shared" si="2"/>
        <v>0</v>
      </c>
      <c r="G55" s="1359">
        <f t="shared" si="3"/>
        <v>-1</v>
      </c>
      <c r="H55" s="1361">
        <f>'Table 5C2 - LA Virtual Admy '!D54</f>
        <v>4559.7314595568487</v>
      </c>
      <c r="I55" s="1361">
        <f>'Table 5C2 - LA Virtual Admy '!F54</f>
        <v>571.01400000000001</v>
      </c>
      <c r="J55" s="1361">
        <f t="shared" si="4"/>
        <v>2565.3727297784244</v>
      </c>
      <c r="K55" s="1362">
        <f t="shared" si="5"/>
        <v>-2565.3727297784244</v>
      </c>
      <c r="L55" s="1366">
        <f t="shared" si="6"/>
        <v>0</v>
      </c>
      <c r="M55" s="1366">
        <f t="shared" si="7"/>
        <v>-2565.3727297784244</v>
      </c>
    </row>
    <row r="56" spans="1:13" ht="14.25">
      <c r="A56" s="1186">
        <v>51</v>
      </c>
      <c r="B56" s="1186" t="s">
        <v>951</v>
      </c>
      <c r="C56" s="1351">
        <f>[14]Sheet1!$I55</f>
        <v>13</v>
      </c>
      <c r="D56" s="1351">
        <f>'[16]Final 2-1-12 SIS'!$Q61</f>
        <v>12</v>
      </c>
      <c r="E56" s="1352">
        <f t="shared" si="1"/>
        <v>-1</v>
      </c>
      <c r="F56" s="1352">
        <f t="shared" si="2"/>
        <v>0</v>
      </c>
      <c r="G56" s="1352">
        <f t="shared" si="3"/>
        <v>-1</v>
      </c>
      <c r="H56" s="1353">
        <f>'Table 5C2 - LA Virtual Admy '!D55</f>
        <v>4084.7188881585589</v>
      </c>
      <c r="I56" s="1353">
        <f>'Table 5C2 - LA Virtual Admy '!F55</f>
        <v>635.99400000000003</v>
      </c>
      <c r="J56" s="1353">
        <f t="shared" si="4"/>
        <v>2360.3564440792793</v>
      </c>
      <c r="K56" s="1354">
        <f t="shared" si="5"/>
        <v>-2360.3564440792793</v>
      </c>
      <c r="L56" s="1365">
        <f t="shared" si="6"/>
        <v>0</v>
      </c>
      <c r="M56" s="1365">
        <f t="shared" si="7"/>
        <v>-2360.3564440792793</v>
      </c>
    </row>
    <row r="57" spans="1:13" ht="14.25">
      <c r="A57" s="1186">
        <v>52</v>
      </c>
      <c r="B57" s="1186" t="s">
        <v>667</v>
      </c>
      <c r="C57" s="1351">
        <f>[14]Sheet1!$I56</f>
        <v>71</v>
      </c>
      <c r="D57" s="1351">
        <f>'[16]Final 2-1-12 SIS'!$Q62</f>
        <v>65</v>
      </c>
      <c r="E57" s="1352">
        <f t="shared" si="1"/>
        <v>-6</v>
      </c>
      <c r="F57" s="1352">
        <f t="shared" si="2"/>
        <v>0</v>
      </c>
      <c r="G57" s="1352">
        <f t="shared" si="3"/>
        <v>-6</v>
      </c>
      <c r="H57" s="1353">
        <f>'Table 5C2 - LA Virtual Admy '!D56</f>
        <v>4487.571353437329</v>
      </c>
      <c r="I57" s="1353">
        <f>'Table 5C2 - LA Virtual Admy '!F56</f>
        <v>592.53300000000002</v>
      </c>
      <c r="J57" s="1353">
        <f t="shared" si="4"/>
        <v>2540.0521767186647</v>
      </c>
      <c r="K57" s="1354">
        <f t="shared" si="5"/>
        <v>-15240.313060311988</v>
      </c>
      <c r="L57" s="1365">
        <f t="shared" si="6"/>
        <v>0</v>
      </c>
      <c r="M57" s="1365">
        <f t="shared" si="7"/>
        <v>-15240.313060311988</v>
      </c>
    </row>
    <row r="58" spans="1:13" ht="14.25">
      <c r="A58" s="1186">
        <v>53</v>
      </c>
      <c r="B58" s="1186" t="s">
        <v>952</v>
      </c>
      <c r="C58" s="1355">
        <f>[14]Sheet1!$I57</f>
        <v>54</v>
      </c>
      <c r="D58" s="1355">
        <f>'[16]Final 2-1-12 SIS'!$Q63</f>
        <v>48</v>
      </c>
      <c r="E58" s="1352">
        <f t="shared" si="1"/>
        <v>-6</v>
      </c>
      <c r="F58" s="1352">
        <f t="shared" si="2"/>
        <v>0</v>
      </c>
      <c r="G58" s="1352">
        <f t="shared" si="3"/>
        <v>-6</v>
      </c>
      <c r="H58" s="1356">
        <f>'Table 5C2 - LA Virtual Admy '!D57</f>
        <v>4270.7827013792439</v>
      </c>
      <c r="I58" s="1356">
        <f>'Table 5C2 - LA Virtual Admy '!F57</f>
        <v>620.76600000000008</v>
      </c>
      <c r="J58" s="1356">
        <f t="shared" si="4"/>
        <v>2445.7743506896222</v>
      </c>
      <c r="K58" s="1354">
        <f t="shared" si="5"/>
        <v>-14674.646104137733</v>
      </c>
      <c r="L58" s="1365">
        <f t="shared" si="6"/>
        <v>0</v>
      </c>
      <c r="M58" s="1365">
        <f t="shared" si="7"/>
        <v>-14674.646104137733</v>
      </c>
    </row>
    <row r="59" spans="1:13" ht="14.25">
      <c r="A59" s="1186">
        <v>54</v>
      </c>
      <c r="B59" s="1186" t="s">
        <v>953</v>
      </c>
      <c r="C59" s="1355">
        <f>[14]Sheet1!$I58</f>
        <v>0</v>
      </c>
      <c r="D59" s="1355">
        <f>'[16]Final 2-1-12 SIS'!$Q64</f>
        <v>0</v>
      </c>
      <c r="E59" s="1352">
        <f t="shared" si="1"/>
        <v>0</v>
      </c>
      <c r="F59" s="1352">
        <f t="shared" si="2"/>
        <v>0</v>
      </c>
      <c r="G59" s="1352">
        <f t="shared" si="3"/>
        <v>0</v>
      </c>
      <c r="H59" s="1356">
        <f>'Table 5C2 - LA Virtual Admy '!D58</f>
        <v>5088.86379648</v>
      </c>
      <c r="I59" s="1356">
        <f>'Table 5C2 - LA Virtual Admy '!F58</f>
        <v>856.30500000000006</v>
      </c>
      <c r="J59" s="1356">
        <f t="shared" si="4"/>
        <v>2972.5843982400002</v>
      </c>
      <c r="K59" s="1354">
        <f t="shared" si="5"/>
        <v>0</v>
      </c>
      <c r="L59" s="1365">
        <f t="shared" si="6"/>
        <v>0</v>
      </c>
      <c r="M59" s="1365">
        <f t="shared" si="7"/>
        <v>0</v>
      </c>
    </row>
    <row r="60" spans="1:13" ht="14.25">
      <c r="A60" s="1192">
        <v>55</v>
      </c>
      <c r="B60" s="1192" t="s">
        <v>954</v>
      </c>
      <c r="C60" s="1358">
        <f>[14]Sheet1!$I59</f>
        <v>19</v>
      </c>
      <c r="D60" s="1358">
        <f>'[16]Final 2-1-12 SIS'!$Q65</f>
        <v>26</v>
      </c>
      <c r="E60" s="1359">
        <f t="shared" si="1"/>
        <v>7</v>
      </c>
      <c r="F60" s="1359">
        <f t="shared" si="2"/>
        <v>7</v>
      </c>
      <c r="G60" s="1359">
        <f t="shared" si="3"/>
        <v>0</v>
      </c>
      <c r="H60" s="1361">
        <f>'Table 5C2 - LA Virtual Admy '!D59</f>
        <v>3661.7481053348683</v>
      </c>
      <c r="I60" s="1361">
        <f>'Table 5C2 - LA Virtual Admy '!F59</f>
        <v>715.62599999999998</v>
      </c>
      <c r="J60" s="1361">
        <f t="shared" si="4"/>
        <v>2188.6870526674343</v>
      </c>
      <c r="K60" s="1362">
        <f t="shared" si="5"/>
        <v>15320.80936867204</v>
      </c>
      <c r="L60" s="1366">
        <f t="shared" si="6"/>
        <v>15320.80936867204</v>
      </c>
      <c r="M60" s="1366">
        <f t="shared" si="7"/>
        <v>0</v>
      </c>
    </row>
    <row r="61" spans="1:13" ht="14.25">
      <c r="A61" s="1186">
        <v>56</v>
      </c>
      <c r="B61" s="1186" t="s">
        <v>652</v>
      </c>
      <c r="C61" s="1351">
        <f>[14]Sheet1!$I60</f>
        <v>8</v>
      </c>
      <c r="D61" s="1351">
        <f>'[16]Final 2-1-12 SIS'!$Q66</f>
        <v>6</v>
      </c>
      <c r="E61" s="1352">
        <f t="shared" si="1"/>
        <v>-2</v>
      </c>
      <c r="F61" s="1352">
        <f t="shared" si="2"/>
        <v>0</v>
      </c>
      <c r="G61" s="1352">
        <f t="shared" si="3"/>
        <v>-2</v>
      </c>
      <c r="H61" s="1353">
        <f>'Table 5C2 - LA Virtual Admy '!D60</f>
        <v>4589.6942743758955</v>
      </c>
      <c r="I61" s="1353">
        <f>'Table 5C2 - LA Virtual Admy '!F60</f>
        <v>553.19400000000007</v>
      </c>
      <c r="J61" s="1353">
        <f t="shared" si="4"/>
        <v>2571.4441371879479</v>
      </c>
      <c r="K61" s="1354">
        <f t="shared" si="5"/>
        <v>-5142.8882743758959</v>
      </c>
      <c r="L61" s="1365">
        <f t="shared" si="6"/>
        <v>0</v>
      </c>
      <c r="M61" s="1365">
        <f t="shared" si="7"/>
        <v>-5142.8882743758959</v>
      </c>
    </row>
    <row r="62" spans="1:13" ht="14.25">
      <c r="A62" s="1186">
        <v>57</v>
      </c>
      <c r="B62" s="1186" t="s">
        <v>955</v>
      </c>
      <c r="C62" s="1351">
        <f>[14]Sheet1!$I61</f>
        <v>11</v>
      </c>
      <c r="D62" s="1351">
        <f>'[16]Final 2-1-12 SIS'!$Q67</f>
        <v>10</v>
      </c>
      <c r="E62" s="1352">
        <f t="shared" si="1"/>
        <v>-1</v>
      </c>
      <c r="F62" s="1352">
        <f t="shared" si="2"/>
        <v>0</v>
      </c>
      <c r="G62" s="1352">
        <f t="shared" si="3"/>
        <v>-1</v>
      </c>
      <c r="H62" s="1353">
        <f>'Table 5C2 - LA Virtual Admy '!D61</f>
        <v>4070.7778701927314</v>
      </c>
      <c r="I62" s="1353">
        <f>'Table 5C2 - LA Virtual Admy '!F61</f>
        <v>688.05899999999997</v>
      </c>
      <c r="J62" s="1353">
        <f t="shared" si="4"/>
        <v>2379.4184350963656</v>
      </c>
      <c r="K62" s="1354">
        <f t="shared" si="5"/>
        <v>-2379.4184350963656</v>
      </c>
      <c r="L62" s="1365">
        <f t="shared" si="6"/>
        <v>0</v>
      </c>
      <c r="M62" s="1365">
        <f t="shared" si="7"/>
        <v>-2379.4184350963656</v>
      </c>
    </row>
    <row r="63" spans="1:13" ht="14.25">
      <c r="A63" s="1186">
        <v>58</v>
      </c>
      <c r="B63" s="1186" t="s">
        <v>956</v>
      </c>
      <c r="C63" s="1355">
        <f>[14]Sheet1!$I62</f>
        <v>31</v>
      </c>
      <c r="D63" s="1355">
        <f>'[16]Final 2-1-12 SIS'!$Q68</f>
        <v>35</v>
      </c>
      <c r="E63" s="1352">
        <f t="shared" si="1"/>
        <v>4</v>
      </c>
      <c r="F63" s="1352">
        <f t="shared" si="2"/>
        <v>4</v>
      </c>
      <c r="G63" s="1352">
        <f t="shared" si="3"/>
        <v>0</v>
      </c>
      <c r="H63" s="1356">
        <f>'Table 5C2 - LA Virtual Admy '!D62</f>
        <v>4756.468530368832</v>
      </c>
      <c r="I63" s="1356">
        <f>'Table 5C2 - LA Virtual Admy '!F62</f>
        <v>627.33600000000001</v>
      </c>
      <c r="J63" s="1356">
        <f t="shared" si="4"/>
        <v>2691.9022651844161</v>
      </c>
      <c r="K63" s="1354">
        <f t="shared" si="5"/>
        <v>10767.609060737665</v>
      </c>
      <c r="L63" s="1365">
        <f t="shared" si="6"/>
        <v>10767.609060737665</v>
      </c>
      <c r="M63" s="1365">
        <f t="shared" si="7"/>
        <v>0</v>
      </c>
    </row>
    <row r="64" spans="1:13" ht="14.25">
      <c r="A64" s="1186">
        <v>59</v>
      </c>
      <c r="B64" s="1186" t="s">
        <v>957</v>
      </c>
      <c r="C64" s="1355">
        <f>[14]Sheet1!$I63</f>
        <v>7</v>
      </c>
      <c r="D64" s="1355">
        <f>'[16]Final 2-1-12 SIS'!$Q69</f>
        <v>8</v>
      </c>
      <c r="E64" s="1352">
        <f t="shared" si="1"/>
        <v>1</v>
      </c>
      <c r="F64" s="1352">
        <f t="shared" si="2"/>
        <v>1</v>
      </c>
      <c r="G64" s="1352">
        <f t="shared" si="3"/>
        <v>0</v>
      </c>
      <c r="H64" s="1356">
        <f>'Table 5C2 - LA Virtual Admy '!D63</f>
        <v>5589.7772228340255</v>
      </c>
      <c r="I64" s="1356">
        <f>'Table 5C2 - LA Virtual Admy '!F63</f>
        <v>620.56799999999998</v>
      </c>
      <c r="J64" s="1356">
        <f t="shared" si="4"/>
        <v>3105.1726114170128</v>
      </c>
      <c r="K64" s="1354">
        <f t="shared" si="5"/>
        <v>3105.1726114170128</v>
      </c>
      <c r="L64" s="1365">
        <f t="shared" si="6"/>
        <v>3105.1726114170128</v>
      </c>
      <c r="M64" s="1365">
        <f t="shared" si="7"/>
        <v>0</v>
      </c>
    </row>
    <row r="65" spans="1:13" ht="14.25">
      <c r="A65" s="1192">
        <v>60</v>
      </c>
      <c r="B65" s="1192" t="s">
        <v>958</v>
      </c>
      <c r="C65" s="1358">
        <f>[14]Sheet1!$I64</f>
        <v>11</v>
      </c>
      <c r="D65" s="1358">
        <f>'[16]Final 2-1-12 SIS'!$Q70</f>
        <v>20</v>
      </c>
      <c r="E65" s="1359">
        <f t="shared" si="1"/>
        <v>9</v>
      </c>
      <c r="F65" s="1359">
        <f t="shared" si="2"/>
        <v>9</v>
      </c>
      <c r="G65" s="1359">
        <f t="shared" si="3"/>
        <v>0</v>
      </c>
      <c r="H65" s="1361">
        <f>'Table 5C2 - LA Virtual Admy '!D64</f>
        <v>4422.4714493933088</v>
      </c>
      <c r="I65" s="1361">
        <f>'Table 5C2 - LA Virtual Admy '!F64</f>
        <v>534.63599999999997</v>
      </c>
      <c r="J65" s="1361">
        <f t="shared" si="4"/>
        <v>2478.5537246966542</v>
      </c>
      <c r="K65" s="1362">
        <f t="shared" si="5"/>
        <v>22306.983522269889</v>
      </c>
      <c r="L65" s="1366">
        <f t="shared" si="6"/>
        <v>22306.983522269889</v>
      </c>
      <c r="M65" s="1366">
        <f t="shared" si="7"/>
        <v>0</v>
      </c>
    </row>
    <row r="66" spans="1:13" ht="14.25">
      <c r="A66" s="1186">
        <v>61</v>
      </c>
      <c r="B66" s="1186" t="s">
        <v>959</v>
      </c>
      <c r="C66" s="1351">
        <f>[14]Sheet1!$I65</f>
        <v>15</v>
      </c>
      <c r="D66" s="1351">
        <f>'[16]Final 2-1-12 SIS'!$Q71</f>
        <v>15</v>
      </c>
      <c r="E66" s="1352">
        <f t="shared" si="1"/>
        <v>0</v>
      </c>
      <c r="F66" s="1352">
        <f t="shared" si="2"/>
        <v>0</v>
      </c>
      <c r="G66" s="1352">
        <f t="shared" si="3"/>
        <v>0</v>
      </c>
      <c r="H66" s="1353">
        <f>'Table 5C2 - LA Virtual Admy '!D65</f>
        <v>2631.4655293498095</v>
      </c>
      <c r="I66" s="1353">
        <f>'Table 5C2 - LA Virtual Admy '!F65</f>
        <v>750.33899999999994</v>
      </c>
      <c r="J66" s="1353">
        <f t="shared" si="4"/>
        <v>1690.9022646749047</v>
      </c>
      <c r="K66" s="1354">
        <f t="shared" si="5"/>
        <v>0</v>
      </c>
      <c r="L66" s="1365">
        <f t="shared" si="6"/>
        <v>0</v>
      </c>
      <c r="M66" s="1365">
        <f t="shared" si="7"/>
        <v>0</v>
      </c>
    </row>
    <row r="67" spans="1:13" ht="14.25">
      <c r="A67" s="1186">
        <v>62</v>
      </c>
      <c r="B67" s="1186" t="s">
        <v>960</v>
      </c>
      <c r="C67" s="1351">
        <f>[14]Sheet1!$I66</f>
        <v>2</v>
      </c>
      <c r="D67" s="1351">
        <f>'[16]Final 2-1-12 SIS'!$Q72</f>
        <v>2</v>
      </c>
      <c r="E67" s="1352">
        <f t="shared" si="1"/>
        <v>0</v>
      </c>
      <c r="F67" s="1352">
        <f t="shared" si="2"/>
        <v>0</v>
      </c>
      <c r="G67" s="1352">
        <f t="shared" si="3"/>
        <v>0</v>
      </c>
      <c r="H67" s="1353">
        <f>'Table 5C2 - LA Virtual Admy '!D66</f>
        <v>4952.451925981527</v>
      </c>
      <c r="I67" s="1353">
        <f>'Table 5C2 - LA Virtual Admy '!F66</f>
        <v>464.47200000000004</v>
      </c>
      <c r="J67" s="1353">
        <f t="shared" si="4"/>
        <v>2708.4619629907634</v>
      </c>
      <c r="K67" s="1354">
        <f t="shared" si="5"/>
        <v>0</v>
      </c>
      <c r="L67" s="1365">
        <f t="shared" si="6"/>
        <v>0</v>
      </c>
      <c r="M67" s="1365">
        <f t="shared" si="7"/>
        <v>0</v>
      </c>
    </row>
    <row r="68" spans="1:13" ht="14.25">
      <c r="A68" s="1186">
        <v>63</v>
      </c>
      <c r="B68" s="1186" t="s">
        <v>961</v>
      </c>
      <c r="C68" s="1355">
        <f>[14]Sheet1!$I67</f>
        <v>1</v>
      </c>
      <c r="D68" s="1355">
        <f>'[16]Final 2-1-12 SIS'!$Q73</f>
        <v>6</v>
      </c>
      <c r="E68" s="1352">
        <f t="shared" si="1"/>
        <v>5</v>
      </c>
      <c r="F68" s="1352">
        <f t="shared" si="2"/>
        <v>5</v>
      </c>
      <c r="G68" s="1352">
        <f t="shared" si="3"/>
        <v>0</v>
      </c>
      <c r="H68" s="1356">
        <f>'Table 5C2 - LA Virtual Admy '!D67</f>
        <v>3822.1503336417391</v>
      </c>
      <c r="I68" s="1356">
        <f>'Table 5C2 - LA Virtual Admy '!F67</f>
        <v>681.11099999999999</v>
      </c>
      <c r="J68" s="1356">
        <f t="shared" si="4"/>
        <v>2251.6306668208695</v>
      </c>
      <c r="K68" s="1354">
        <f t="shared" si="5"/>
        <v>11258.153334104347</v>
      </c>
      <c r="L68" s="1365">
        <f t="shared" si="6"/>
        <v>11258.153334104347</v>
      </c>
      <c r="M68" s="1365">
        <f t="shared" si="7"/>
        <v>0</v>
      </c>
    </row>
    <row r="69" spans="1:13" ht="14.25">
      <c r="A69" s="1186">
        <v>64</v>
      </c>
      <c r="B69" s="1186" t="s">
        <v>962</v>
      </c>
      <c r="C69" s="1355">
        <f>[14]Sheet1!$I68</f>
        <v>3</v>
      </c>
      <c r="D69" s="1355">
        <f>'[16]Final 2-1-12 SIS'!$Q74</f>
        <v>2</v>
      </c>
      <c r="E69" s="1352">
        <f t="shared" si="1"/>
        <v>-1</v>
      </c>
      <c r="F69" s="1352">
        <f t="shared" si="2"/>
        <v>0</v>
      </c>
      <c r="G69" s="1352">
        <f t="shared" si="3"/>
        <v>-1</v>
      </c>
      <c r="H69" s="1356">
        <f>'Table 5C2 - LA Virtual Admy '!D68</f>
        <v>5271.286266696583</v>
      </c>
      <c r="I69" s="1356">
        <f>'Table 5C2 - LA Virtual Admy '!F68</f>
        <v>533.39400000000001</v>
      </c>
      <c r="J69" s="1356">
        <f t="shared" si="4"/>
        <v>2902.3401333482916</v>
      </c>
      <c r="K69" s="1354">
        <f t="shared" si="5"/>
        <v>-2902.3401333482916</v>
      </c>
      <c r="L69" s="1365">
        <f t="shared" si="6"/>
        <v>0</v>
      </c>
      <c r="M69" s="1365">
        <f t="shared" si="7"/>
        <v>-2902.3401333482916</v>
      </c>
    </row>
    <row r="70" spans="1:13" ht="14.25">
      <c r="A70" s="1192">
        <v>65</v>
      </c>
      <c r="B70" s="1192" t="s">
        <v>963</v>
      </c>
      <c r="C70" s="1358">
        <f>[14]Sheet1!$I69</f>
        <v>6</v>
      </c>
      <c r="D70" s="1358">
        <f>'[16]Final 2-1-12 SIS'!$Q75</f>
        <v>9</v>
      </c>
      <c r="E70" s="1359">
        <f t="shared" si="1"/>
        <v>3</v>
      </c>
      <c r="F70" s="1359">
        <f t="shared" si="2"/>
        <v>3</v>
      </c>
      <c r="G70" s="1359">
        <f t="shared" si="3"/>
        <v>0</v>
      </c>
      <c r="H70" s="1361">
        <f>'Table 5C2 - LA Virtual Admy '!D69</f>
        <v>4058.1400565581794</v>
      </c>
      <c r="I70" s="1361">
        <f>'Table 5C2 - LA Virtual Admy '!F69</f>
        <v>746.20799999999997</v>
      </c>
      <c r="J70" s="1361">
        <f t="shared" si="4"/>
        <v>2402.1740282790897</v>
      </c>
      <c r="K70" s="1362">
        <f t="shared" si="5"/>
        <v>7206.5220848372692</v>
      </c>
      <c r="L70" s="1366">
        <f t="shared" si="6"/>
        <v>7206.5220848372692</v>
      </c>
      <c r="M70" s="1366">
        <f t="shared" si="7"/>
        <v>0</v>
      </c>
    </row>
    <row r="71" spans="1:13" ht="14.25">
      <c r="A71" s="1197">
        <v>66</v>
      </c>
      <c r="B71" s="1197" t="s">
        <v>964</v>
      </c>
      <c r="C71" s="1355">
        <f>[14]Sheet1!$I70</f>
        <v>6</v>
      </c>
      <c r="D71" s="1355">
        <f>'[16]Final 2-1-12 SIS'!$Q76</f>
        <v>8</v>
      </c>
      <c r="E71" s="1352">
        <f t="shared" ref="E71:E74" si="8">D71-C71</f>
        <v>2</v>
      </c>
      <c r="F71" s="1352">
        <f>IF(E71&gt;0,E71,0)</f>
        <v>2</v>
      </c>
      <c r="G71" s="1352">
        <f>IF(E71&lt;0,E71,0)</f>
        <v>0</v>
      </c>
      <c r="H71" s="1356">
        <f>'Table 5C2 - LA Virtual Admy '!D70</f>
        <v>5548.4334996842617</v>
      </c>
      <c r="I71" s="1356">
        <f>'Table 5C2 - LA Virtual Admy '!F70</f>
        <v>657.05399999999997</v>
      </c>
      <c r="J71" s="1356">
        <f t="shared" ref="J71:J74" si="9">(I71+H71)*0.5</f>
        <v>3102.7437498421309</v>
      </c>
      <c r="K71" s="1354">
        <f>E71*J71</f>
        <v>6205.4874996842618</v>
      </c>
      <c r="L71" s="1365">
        <f>IF(K71&gt;0,K71,0)</f>
        <v>6205.4874996842618</v>
      </c>
      <c r="M71" s="1365">
        <f>IF(K71&lt;0,K71,0)</f>
        <v>0</v>
      </c>
    </row>
    <row r="72" spans="1:13" ht="14.25">
      <c r="A72" s="1186">
        <v>67</v>
      </c>
      <c r="B72" s="1186" t="s">
        <v>965</v>
      </c>
      <c r="C72" s="1351">
        <f>[14]Sheet1!$I71</f>
        <v>8</v>
      </c>
      <c r="D72" s="1351">
        <f>'[16]Final 2-1-12 SIS'!$Q77</f>
        <v>4</v>
      </c>
      <c r="E72" s="1352">
        <f t="shared" si="8"/>
        <v>-4</v>
      </c>
      <c r="F72" s="1352">
        <f>IF(E72&gt;0,E72,0)</f>
        <v>0</v>
      </c>
      <c r="G72" s="1352">
        <f>IF(E72&lt;0,E72,0)</f>
        <v>-4</v>
      </c>
      <c r="H72" s="1353">
        <f>'Table 5C2 - LA Virtual Admy '!D71</f>
        <v>4497.9714675875975</v>
      </c>
      <c r="I72" s="1353">
        <f>'Table 5C2 - LA Virtual Admy '!F71</f>
        <v>644.04899999999998</v>
      </c>
      <c r="J72" s="1353">
        <f t="shared" si="9"/>
        <v>2571.0102337937988</v>
      </c>
      <c r="K72" s="1354">
        <f>E72*J72</f>
        <v>-10284.040935175195</v>
      </c>
      <c r="L72" s="1365">
        <f>IF(K72&gt;0,K72,0)</f>
        <v>0</v>
      </c>
      <c r="M72" s="1365">
        <f>IF(K72&lt;0,K72,0)</f>
        <v>-10284.040935175195</v>
      </c>
    </row>
    <row r="73" spans="1:13" ht="14.25">
      <c r="A73" s="1186">
        <v>68</v>
      </c>
      <c r="B73" s="1186" t="s">
        <v>966</v>
      </c>
      <c r="C73" s="1351">
        <f>[14]Sheet1!$I72</f>
        <v>4</v>
      </c>
      <c r="D73" s="1351">
        <f>'[16]Final 2-1-12 SIS'!$Q78</f>
        <v>5</v>
      </c>
      <c r="E73" s="1352">
        <f t="shared" si="8"/>
        <v>1</v>
      </c>
      <c r="F73" s="1352">
        <f>IF(E73&gt;0,E73,0)</f>
        <v>1</v>
      </c>
      <c r="G73" s="1352">
        <f>IF(E73&lt;0,E73,0)</f>
        <v>0</v>
      </c>
      <c r="H73" s="1353">
        <f>'Table 5C2 - LA Virtual Admy '!D72</f>
        <v>5271.2040456958403</v>
      </c>
      <c r="I73" s="1353">
        <f>'Table 5C2 - LA Virtual Admy '!F72</f>
        <v>718.83</v>
      </c>
      <c r="J73" s="1353">
        <f t="shared" si="9"/>
        <v>2995.0170228479201</v>
      </c>
      <c r="K73" s="1354">
        <f>E73*J73</f>
        <v>2995.0170228479201</v>
      </c>
      <c r="L73" s="1365">
        <f>IF(K73&gt;0,K73,0)</f>
        <v>2995.0170228479201</v>
      </c>
      <c r="M73" s="1365">
        <f>IF(K73&lt;0,K73,0)</f>
        <v>0</v>
      </c>
    </row>
    <row r="74" spans="1:13" ht="14.25">
      <c r="A74" s="1213">
        <v>69</v>
      </c>
      <c r="B74" s="1199" t="s">
        <v>967</v>
      </c>
      <c r="C74" s="1351">
        <f>[14]Sheet1!$I73</f>
        <v>5</v>
      </c>
      <c r="D74" s="1351">
        <f>'[16]Final 2-1-12 SIS'!$Q79</f>
        <v>5</v>
      </c>
      <c r="E74" s="1352">
        <f t="shared" si="8"/>
        <v>0</v>
      </c>
      <c r="F74" s="1352">
        <f>IF(E74&gt;0,E74,0)</f>
        <v>0</v>
      </c>
      <c r="G74" s="1352">
        <f>IF(E74&lt;0,E74,0)</f>
        <v>0</v>
      </c>
      <c r="H74" s="1353">
        <f>'Table 5C2 - LA Virtual Admy '!D73</f>
        <v>4943.9917793963914</v>
      </c>
      <c r="I74" s="1353">
        <f>'Table 5C2 - LA Virtual Admy '!F73</f>
        <v>635.10299999999995</v>
      </c>
      <c r="J74" s="1353">
        <f t="shared" si="9"/>
        <v>2789.5473896981957</v>
      </c>
      <c r="K74" s="1354">
        <f>E74*J74</f>
        <v>0</v>
      </c>
      <c r="L74" s="1365">
        <f>IF(K74&gt;0,K74,0)</f>
        <v>0</v>
      </c>
      <c r="M74" s="1365">
        <f>IF(K74&lt;0,K74,0)</f>
        <v>0</v>
      </c>
    </row>
    <row r="75" spans="1:13" s="1204" customFormat="1" ht="15.75" thickBot="1">
      <c r="A75" s="1369"/>
      <c r="B75" s="1201" t="s">
        <v>1152</v>
      </c>
      <c r="C75" s="1370">
        <f t="shared" ref="C75:M75" si="10">SUM(C6:C74)</f>
        <v>1246</v>
      </c>
      <c r="D75" s="1370">
        <f>SUM(D6:D74)</f>
        <v>1242</v>
      </c>
      <c r="E75" s="1370">
        <f t="shared" si="10"/>
        <v>-4</v>
      </c>
      <c r="F75" s="1370">
        <f t="shared" si="10"/>
        <v>102</v>
      </c>
      <c r="G75" s="1370">
        <f t="shared" si="10"/>
        <v>-106</v>
      </c>
      <c r="H75" s="1371"/>
      <c r="I75" s="1371"/>
      <c r="J75" s="1371"/>
      <c r="K75" s="1371">
        <f t="shared" si="10"/>
        <v>11891.766400164843</v>
      </c>
      <c r="L75" s="1371">
        <f t="shared" si="10"/>
        <v>255219.94012487095</v>
      </c>
      <c r="M75" s="1371">
        <f t="shared" si="10"/>
        <v>-243328.17372470617</v>
      </c>
    </row>
    <row r="76" spans="1:13" ht="13.5" thickTop="1"/>
  </sheetData>
  <mergeCells count="13">
    <mergeCell ref="F2:F3"/>
    <mergeCell ref="A2:A3"/>
    <mergeCell ref="B2:B3"/>
    <mergeCell ref="C2:C3"/>
    <mergeCell ref="D2:D3"/>
    <mergeCell ref="E2:E3"/>
    <mergeCell ref="M2:M3"/>
    <mergeCell ref="G2:G3"/>
    <mergeCell ref="H2:H3"/>
    <mergeCell ref="I2:I3"/>
    <mergeCell ref="J2:J3"/>
    <mergeCell ref="K2:K3"/>
    <mergeCell ref="L2:L3"/>
  </mergeCells>
  <pageMargins left="0.45" right="0.43" top="0.75" bottom="0.75" header="0.3" footer="0.3"/>
  <pageSetup paperSize="5" scale="43" orientation="portrait" r:id="rId1"/>
  <headerFooter>
    <oddHeader>&amp;L&amp;"Arial,Bold"&amp;24FY2011-12 MFP Budget Letter: February 1 Mid-year Adjustment for Students</oddHeader>
    <oddFooter>&amp;L&amp;Z&amp;F</oddFooter>
  </headerFooter>
</worksheet>
</file>

<file path=xl/worksheets/sheet25.xml><?xml version="1.0" encoding="utf-8"?>
<worksheet xmlns="http://schemas.openxmlformats.org/spreadsheetml/2006/main" xmlns:r="http://schemas.openxmlformats.org/officeDocument/2006/relationships">
  <dimension ref="A1:M76"/>
  <sheetViews>
    <sheetView view="pageBreakPreview" zoomScale="70" zoomScaleNormal="100" zoomScaleSheetLayoutView="70" workbookViewId="0"/>
  </sheetViews>
  <sheetFormatPr defaultRowHeight="12.75"/>
  <cols>
    <col min="1" max="1" width="5.5703125" style="1181" customWidth="1"/>
    <col min="2" max="2" width="61.28515625" style="1181" customWidth="1"/>
    <col min="3" max="4" width="12.5703125" style="1181" customWidth="1"/>
    <col min="5" max="5" width="15.5703125" style="1181" customWidth="1"/>
    <col min="6" max="6" width="11.7109375" style="1181" customWidth="1"/>
    <col min="7" max="7" width="11.85546875" style="1181" customWidth="1"/>
    <col min="8" max="8" width="13.140625" style="1465" customWidth="1"/>
    <col min="9" max="9" width="11.5703125" style="1466" customWidth="1"/>
    <col min="10" max="10" width="15.42578125" style="1181" customWidth="1"/>
    <col min="11" max="11" width="16.85546875" style="1465" customWidth="1"/>
    <col min="12" max="12" width="15.7109375" style="1181" customWidth="1"/>
    <col min="13" max="13" width="16.7109375" style="1181" customWidth="1"/>
    <col min="14" max="256" width="9.140625" style="1181"/>
    <col min="257" max="257" width="4.42578125" style="1181" customWidth="1"/>
    <col min="258" max="258" width="46.85546875" style="1181" customWidth="1"/>
    <col min="259" max="259" width="11.28515625" style="1181" bestFit="1" customWidth="1"/>
    <col min="260" max="260" width="11.42578125" style="1181" bestFit="1" customWidth="1"/>
    <col min="261" max="261" width="11.85546875" style="1181" customWidth="1"/>
    <col min="262" max="262" width="10" style="1181" customWidth="1"/>
    <col min="263" max="263" width="11.140625" style="1181" customWidth="1"/>
    <col min="264" max="264" width="10.28515625" style="1181" bestFit="1" customWidth="1"/>
    <col min="265" max="265" width="10.140625" style="1181" bestFit="1" customWidth="1"/>
    <col min="266" max="266" width="12" style="1181" bestFit="1" customWidth="1"/>
    <col min="267" max="267" width="14.28515625" style="1181" bestFit="1" customWidth="1"/>
    <col min="268" max="268" width="13.5703125" style="1181" bestFit="1" customWidth="1"/>
    <col min="269" max="269" width="13.85546875" style="1181" bestFit="1" customWidth="1"/>
    <col min="270" max="512" width="9.140625" style="1181"/>
    <col min="513" max="513" width="4.42578125" style="1181" customWidth="1"/>
    <col min="514" max="514" width="46.85546875" style="1181" customWidth="1"/>
    <col min="515" max="515" width="11.28515625" style="1181" bestFit="1" customWidth="1"/>
    <col min="516" max="516" width="11.42578125" style="1181" bestFit="1" customWidth="1"/>
    <col min="517" max="517" width="11.85546875" style="1181" customWidth="1"/>
    <col min="518" max="518" width="10" style="1181" customWidth="1"/>
    <col min="519" max="519" width="11.140625" style="1181" customWidth="1"/>
    <col min="520" max="520" width="10.28515625" style="1181" bestFit="1" customWidth="1"/>
    <col min="521" max="521" width="10.140625" style="1181" bestFit="1" customWidth="1"/>
    <col min="522" max="522" width="12" style="1181" bestFit="1" customWidth="1"/>
    <col min="523" max="523" width="14.28515625" style="1181" bestFit="1" customWidth="1"/>
    <col min="524" max="524" width="13.5703125" style="1181" bestFit="1" customWidth="1"/>
    <col min="525" max="525" width="13.85546875" style="1181" bestFit="1" customWidth="1"/>
    <col min="526" max="768" width="9.140625" style="1181"/>
    <col min="769" max="769" width="4.42578125" style="1181" customWidth="1"/>
    <col min="770" max="770" width="46.85546875" style="1181" customWidth="1"/>
    <col min="771" max="771" width="11.28515625" style="1181" bestFit="1" customWidth="1"/>
    <col min="772" max="772" width="11.42578125" style="1181" bestFit="1" customWidth="1"/>
    <col min="773" max="773" width="11.85546875" style="1181" customWidth="1"/>
    <col min="774" max="774" width="10" style="1181" customWidth="1"/>
    <col min="775" max="775" width="11.140625" style="1181" customWidth="1"/>
    <col min="776" max="776" width="10.28515625" style="1181" bestFit="1" customWidth="1"/>
    <col min="777" max="777" width="10.140625" style="1181" bestFit="1" customWidth="1"/>
    <col min="778" max="778" width="12" style="1181" bestFit="1" customWidth="1"/>
    <col min="779" max="779" width="14.28515625" style="1181" bestFit="1" customWidth="1"/>
    <col min="780" max="780" width="13.5703125" style="1181" bestFit="1" customWidth="1"/>
    <col min="781" max="781" width="13.85546875" style="1181" bestFit="1" customWidth="1"/>
    <col min="782" max="1024" width="9.140625" style="1181"/>
    <col min="1025" max="1025" width="4.42578125" style="1181" customWidth="1"/>
    <col min="1026" max="1026" width="46.85546875" style="1181" customWidth="1"/>
    <col min="1027" max="1027" width="11.28515625" style="1181" bestFit="1" customWidth="1"/>
    <col min="1028" max="1028" width="11.42578125" style="1181" bestFit="1" customWidth="1"/>
    <col min="1029" max="1029" width="11.85546875" style="1181" customWidth="1"/>
    <col min="1030" max="1030" width="10" style="1181" customWidth="1"/>
    <col min="1031" max="1031" width="11.140625" style="1181" customWidth="1"/>
    <col min="1032" max="1032" width="10.28515625" style="1181" bestFit="1" customWidth="1"/>
    <col min="1033" max="1033" width="10.140625" style="1181" bestFit="1" customWidth="1"/>
    <col min="1034" max="1034" width="12" style="1181" bestFit="1" customWidth="1"/>
    <col min="1035" max="1035" width="14.28515625" style="1181" bestFit="1" customWidth="1"/>
    <col min="1036" max="1036" width="13.5703125" style="1181" bestFit="1" customWidth="1"/>
    <col min="1037" max="1037" width="13.85546875" style="1181" bestFit="1" customWidth="1"/>
    <col min="1038" max="1280" width="9.140625" style="1181"/>
    <col min="1281" max="1281" width="4.42578125" style="1181" customWidth="1"/>
    <col min="1282" max="1282" width="46.85546875" style="1181" customWidth="1"/>
    <col min="1283" max="1283" width="11.28515625" style="1181" bestFit="1" customWidth="1"/>
    <col min="1284" max="1284" width="11.42578125" style="1181" bestFit="1" customWidth="1"/>
    <col min="1285" max="1285" width="11.85546875" style="1181" customWidth="1"/>
    <col min="1286" max="1286" width="10" style="1181" customWidth="1"/>
    <col min="1287" max="1287" width="11.140625" style="1181" customWidth="1"/>
    <col min="1288" max="1288" width="10.28515625" style="1181" bestFit="1" customWidth="1"/>
    <col min="1289" max="1289" width="10.140625" style="1181" bestFit="1" customWidth="1"/>
    <col min="1290" max="1290" width="12" style="1181" bestFit="1" customWidth="1"/>
    <col min="1291" max="1291" width="14.28515625" style="1181" bestFit="1" customWidth="1"/>
    <col min="1292" max="1292" width="13.5703125" style="1181" bestFit="1" customWidth="1"/>
    <col min="1293" max="1293" width="13.85546875" style="1181" bestFit="1" customWidth="1"/>
    <col min="1294" max="1536" width="9.140625" style="1181"/>
    <col min="1537" max="1537" width="4.42578125" style="1181" customWidth="1"/>
    <col min="1538" max="1538" width="46.85546875" style="1181" customWidth="1"/>
    <col min="1539" max="1539" width="11.28515625" style="1181" bestFit="1" customWidth="1"/>
    <col min="1540" max="1540" width="11.42578125" style="1181" bestFit="1" customWidth="1"/>
    <col min="1541" max="1541" width="11.85546875" style="1181" customWidth="1"/>
    <col min="1542" max="1542" width="10" style="1181" customWidth="1"/>
    <col min="1543" max="1543" width="11.140625" style="1181" customWidth="1"/>
    <col min="1544" max="1544" width="10.28515625" style="1181" bestFit="1" customWidth="1"/>
    <col min="1545" max="1545" width="10.140625" style="1181" bestFit="1" customWidth="1"/>
    <col min="1546" max="1546" width="12" style="1181" bestFit="1" customWidth="1"/>
    <col min="1547" max="1547" width="14.28515625" style="1181" bestFit="1" customWidth="1"/>
    <col min="1548" max="1548" width="13.5703125" style="1181" bestFit="1" customWidth="1"/>
    <col min="1549" max="1549" width="13.85546875" style="1181" bestFit="1" customWidth="1"/>
    <col min="1550" max="1792" width="9.140625" style="1181"/>
    <col min="1793" max="1793" width="4.42578125" style="1181" customWidth="1"/>
    <col min="1794" max="1794" width="46.85546875" style="1181" customWidth="1"/>
    <col min="1795" max="1795" width="11.28515625" style="1181" bestFit="1" customWidth="1"/>
    <col min="1796" max="1796" width="11.42578125" style="1181" bestFit="1" customWidth="1"/>
    <col min="1797" max="1797" width="11.85546875" style="1181" customWidth="1"/>
    <col min="1798" max="1798" width="10" style="1181" customWidth="1"/>
    <col min="1799" max="1799" width="11.140625" style="1181" customWidth="1"/>
    <col min="1800" max="1800" width="10.28515625" style="1181" bestFit="1" customWidth="1"/>
    <col min="1801" max="1801" width="10.140625" style="1181" bestFit="1" customWidth="1"/>
    <col min="1802" max="1802" width="12" style="1181" bestFit="1" customWidth="1"/>
    <col min="1803" max="1803" width="14.28515625" style="1181" bestFit="1" customWidth="1"/>
    <col min="1804" max="1804" width="13.5703125" style="1181" bestFit="1" customWidth="1"/>
    <col min="1805" max="1805" width="13.85546875" style="1181" bestFit="1" customWidth="1"/>
    <col min="1806" max="2048" width="9.140625" style="1181"/>
    <col min="2049" max="2049" width="4.42578125" style="1181" customWidth="1"/>
    <col min="2050" max="2050" width="46.85546875" style="1181" customWidth="1"/>
    <col min="2051" max="2051" width="11.28515625" style="1181" bestFit="1" customWidth="1"/>
    <col min="2052" max="2052" width="11.42578125" style="1181" bestFit="1" customWidth="1"/>
    <col min="2053" max="2053" width="11.85546875" style="1181" customWidth="1"/>
    <col min="2054" max="2054" width="10" style="1181" customWidth="1"/>
    <col min="2055" max="2055" width="11.140625" style="1181" customWidth="1"/>
    <col min="2056" max="2056" width="10.28515625" style="1181" bestFit="1" customWidth="1"/>
    <col min="2057" max="2057" width="10.140625" style="1181" bestFit="1" customWidth="1"/>
    <col min="2058" max="2058" width="12" style="1181" bestFit="1" customWidth="1"/>
    <col min="2059" max="2059" width="14.28515625" style="1181" bestFit="1" customWidth="1"/>
    <col min="2060" max="2060" width="13.5703125" style="1181" bestFit="1" customWidth="1"/>
    <col min="2061" max="2061" width="13.85546875" style="1181" bestFit="1" customWidth="1"/>
    <col min="2062" max="2304" width="9.140625" style="1181"/>
    <col min="2305" max="2305" width="4.42578125" style="1181" customWidth="1"/>
    <col min="2306" max="2306" width="46.85546875" style="1181" customWidth="1"/>
    <col min="2307" max="2307" width="11.28515625" style="1181" bestFit="1" customWidth="1"/>
    <col min="2308" max="2308" width="11.42578125" style="1181" bestFit="1" customWidth="1"/>
    <col min="2309" max="2309" width="11.85546875" style="1181" customWidth="1"/>
    <col min="2310" max="2310" width="10" style="1181" customWidth="1"/>
    <col min="2311" max="2311" width="11.140625" style="1181" customWidth="1"/>
    <col min="2312" max="2312" width="10.28515625" style="1181" bestFit="1" customWidth="1"/>
    <col min="2313" max="2313" width="10.140625" style="1181" bestFit="1" customWidth="1"/>
    <col min="2314" max="2314" width="12" style="1181" bestFit="1" customWidth="1"/>
    <col min="2315" max="2315" width="14.28515625" style="1181" bestFit="1" customWidth="1"/>
    <col min="2316" max="2316" width="13.5703125" style="1181" bestFit="1" customWidth="1"/>
    <col min="2317" max="2317" width="13.85546875" style="1181" bestFit="1" customWidth="1"/>
    <col min="2318" max="2560" width="9.140625" style="1181"/>
    <col min="2561" max="2561" width="4.42578125" style="1181" customWidth="1"/>
    <col min="2562" max="2562" width="46.85546875" style="1181" customWidth="1"/>
    <col min="2563" max="2563" width="11.28515625" style="1181" bestFit="1" customWidth="1"/>
    <col min="2564" max="2564" width="11.42578125" style="1181" bestFit="1" customWidth="1"/>
    <col min="2565" max="2565" width="11.85546875" style="1181" customWidth="1"/>
    <col min="2566" max="2566" width="10" style="1181" customWidth="1"/>
    <col min="2567" max="2567" width="11.140625" style="1181" customWidth="1"/>
    <col min="2568" max="2568" width="10.28515625" style="1181" bestFit="1" customWidth="1"/>
    <col min="2569" max="2569" width="10.140625" style="1181" bestFit="1" customWidth="1"/>
    <col min="2570" max="2570" width="12" style="1181" bestFit="1" customWidth="1"/>
    <col min="2571" max="2571" width="14.28515625" style="1181" bestFit="1" customWidth="1"/>
    <col min="2572" max="2572" width="13.5703125" style="1181" bestFit="1" customWidth="1"/>
    <col min="2573" max="2573" width="13.85546875" style="1181" bestFit="1" customWidth="1"/>
    <col min="2574" max="2816" width="9.140625" style="1181"/>
    <col min="2817" max="2817" width="4.42578125" style="1181" customWidth="1"/>
    <col min="2818" max="2818" width="46.85546875" style="1181" customWidth="1"/>
    <col min="2819" max="2819" width="11.28515625" style="1181" bestFit="1" customWidth="1"/>
    <col min="2820" max="2820" width="11.42578125" style="1181" bestFit="1" customWidth="1"/>
    <col min="2821" max="2821" width="11.85546875" style="1181" customWidth="1"/>
    <col min="2822" max="2822" width="10" style="1181" customWidth="1"/>
    <col min="2823" max="2823" width="11.140625" style="1181" customWidth="1"/>
    <col min="2824" max="2824" width="10.28515625" style="1181" bestFit="1" customWidth="1"/>
    <col min="2825" max="2825" width="10.140625" style="1181" bestFit="1" customWidth="1"/>
    <col min="2826" max="2826" width="12" style="1181" bestFit="1" customWidth="1"/>
    <col min="2827" max="2827" width="14.28515625" style="1181" bestFit="1" customWidth="1"/>
    <col min="2828" max="2828" width="13.5703125" style="1181" bestFit="1" customWidth="1"/>
    <col min="2829" max="2829" width="13.85546875" style="1181" bestFit="1" customWidth="1"/>
    <col min="2830" max="3072" width="9.140625" style="1181"/>
    <col min="3073" max="3073" width="4.42578125" style="1181" customWidth="1"/>
    <col min="3074" max="3074" width="46.85546875" style="1181" customWidth="1"/>
    <col min="3075" max="3075" width="11.28515625" style="1181" bestFit="1" customWidth="1"/>
    <col min="3076" max="3076" width="11.42578125" style="1181" bestFit="1" customWidth="1"/>
    <col min="3077" max="3077" width="11.85546875" style="1181" customWidth="1"/>
    <col min="3078" max="3078" width="10" style="1181" customWidth="1"/>
    <col min="3079" max="3079" width="11.140625" style="1181" customWidth="1"/>
    <col min="3080" max="3080" width="10.28515625" style="1181" bestFit="1" customWidth="1"/>
    <col min="3081" max="3081" width="10.140625" style="1181" bestFit="1" customWidth="1"/>
    <col min="3082" max="3082" width="12" style="1181" bestFit="1" customWidth="1"/>
    <col min="3083" max="3083" width="14.28515625" style="1181" bestFit="1" customWidth="1"/>
    <col min="3084" max="3084" width="13.5703125" style="1181" bestFit="1" customWidth="1"/>
    <col min="3085" max="3085" width="13.85546875" style="1181" bestFit="1" customWidth="1"/>
    <col min="3086" max="3328" width="9.140625" style="1181"/>
    <col min="3329" max="3329" width="4.42578125" style="1181" customWidth="1"/>
    <col min="3330" max="3330" width="46.85546875" style="1181" customWidth="1"/>
    <col min="3331" max="3331" width="11.28515625" style="1181" bestFit="1" customWidth="1"/>
    <col min="3332" max="3332" width="11.42578125" style="1181" bestFit="1" customWidth="1"/>
    <col min="3333" max="3333" width="11.85546875" style="1181" customWidth="1"/>
    <col min="3334" max="3334" width="10" style="1181" customWidth="1"/>
    <col min="3335" max="3335" width="11.140625" style="1181" customWidth="1"/>
    <col min="3336" max="3336" width="10.28515625" style="1181" bestFit="1" customWidth="1"/>
    <col min="3337" max="3337" width="10.140625" style="1181" bestFit="1" customWidth="1"/>
    <col min="3338" max="3338" width="12" style="1181" bestFit="1" customWidth="1"/>
    <col min="3339" max="3339" width="14.28515625" style="1181" bestFit="1" customWidth="1"/>
    <col min="3340" max="3340" width="13.5703125" style="1181" bestFit="1" customWidth="1"/>
    <col min="3341" max="3341" width="13.85546875" style="1181" bestFit="1" customWidth="1"/>
    <col min="3342" max="3584" width="9.140625" style="1181"/>
    <col min="3585" max="3585" width="4.42578125" style="1181" customWidth="1"/>
    <col min="3586" max="3586" width="46.85546875" style="1181" customWidth="1"/>
    <col min="3587" max="3587" width="11.28515625" style="1181" bestFit="1" customWidth="1"/>
    <col min="3588" max="3588" width="11.42578125" style="1181" bestFit="1" customWidth="1"/>
    <col min="3589" max="3589" width="11.85546875" style="1181" customWidth="1"/>
    <col min="3590" max="3590" width="10" style="1181" customWidth="1"/>
    <col min="3591" max="3591" width="11.140625" style="1181" customWidth="1"/>
    <col min="3592" max="3592" width="10.28515625" style="1181" bestFit="1" customWidth="1"/>
    <col min="3593" max="3593" width="10.140625" style="1181" bestFit="1" customWidth="1"/>
    <col min="3594" max="3594" width="12" style="1181" bestFit="1" customWidth="1"/>
    <col min="3595" max="3595" width="14.28515625" style="1181" bestFit="1" customWidth="1"/>
    <col min="3596" max="3596" width="13.5703125" style="1181" bestFit="1" customWidth="1"/>
    <col min="3597" max="3597" width="13.85546875" style="1181" bestFit="1" customWidth="1"/>
    <col min="3598" max="3840" width="9.140625" style="1181"/>
    <col min="3841" max="3841" width="4.42578125" style="1181" customWidth="1"/>
    <col min="3842" max="3842" width="46.85546875" style="1181" customWidth="1"/>
    <col min="3843" max="3843" width="11.28515625" style="1181" bestFit="1" customWidth="1"/>
    <col min="3844" max="3844" width="11.42578125" style="1181" bestFit="1" customWidth="1"/>
    <col min="3845" max="3845" width="11.85546875" style="1181" customWidth="1"/>
    <col min="3846" max="3846" width="10" style="1181" customWidth="1"/>
    <col min="3847" max="3847" width="11.140625" style="1181" customWidth="1"/>
    <col min="3848" max="3848" width="10.28515625" style="1181" bestFit="1" customWidth="1"/>
    <col min="3849" max="3849" width="10.140625" style="1181" bestFit="1" customWidth="1"/>
    <col min="3850" max="3850" width="12" style="1181" bestFit="1" customWidth="1"/>
    <col min="3851" max="3851" width="14.28515625" style="1181" bestFit="1" customWidth="1"/>
    <col min="3852" max="3852" width="13.5703125" style="1181" bestFit="1" customWidth="1"/>
    <col min="3853" max="3853" width="13.85546875" style="1181" bestFit="1" customWidth="1"/>
    <col min="3854" max="4096" width="9.140625" style="1181"/>
    <col min="4097" max="4097" width="4.42578125" style="1181" customWidth="1"/>
    <col min="4098" max="4098" width="46.85546875" style="1181" customWidth="1"/>
    <col min="4099" max="4099" width="11.28515625" style="1181" bestFit="1" customWidth="1"/>
    <col min="4100" max="4100" width="11.42578125" style="1181" bestFit="1" customWidth="1"/>
    <col min="4101" max="4101" width="11.85546875" style="1181" customWidth="1"/>
    <col min="4102" max="4102" width="10" style="1181" customWidth="1"/>
    <col min="4103" max="4103" width="11.140625" style="1181" customWidth="1"/>
    <col min="4104" max="4104" width="10.28515625" style="1181" bestFit="1" customWidth="1"/>
    <col min="4105" max="4105" width="10.140625" style="1181" bestFit="1" customWidth="1"/>
    <col min="4106" max="4106" width="12" style="1181" bestFit="1" customWidth="1"/>
    <col min="4107" max="4107" width="14.28515625" style="1181" bestFit="1" customWidth="1"/>
    <col min="4108" max="4108" width="13.5703125" style="1181" bestFit="1" customWidth="1"/>
    <col min="4109" max="4109" width="13.85546875" style="1181" bestFit="1" customWidth="1"/>
    <col min="4110" max="4352" width="9.140625" style="1181"/>
    <col min="4353" max="4353" width="4.42578125" style="1181" customWidth="1"/>
    <col min="4354" max="4354" width="46.85546875" style="1181" customWidth="1"/>
    <col min="4355" max="4355" width="11.28515625" style="1181" bestFit="1" customWidth="1"/>
    <col min="4356" max="4356" width="11.42578125" style="1181" bestFit="1" customWidth="1"/>
    <col min="4357" max="4357" width="11.85546875" style="1181" customWidth="1"/>
    <col min="4358" max="4358" width="10" style="1181" customWidth="1"/>
    <col min="4359" max="4359" width="11.140625" style="1181" customWidth="1"/>
    <col min="4360" max="4360" width="10.28515625" style="1181" bestFit="1" customWidth="1"/>
    <col min="4361" max="4361" width="10.140625" style="1181" bestFit="1" customWidth="1"/>
    <col min="4362" max="4362" width="12" style="1181" bestFit="1" customWidth="1"/>
    <col min="4363" max="4363" width="14.28515625" style="1181" bestFit="1" customWidth="1"/>
    <col min="4364" max="4364" width="13.5703125" style="1181" bestFit="1" customWidth="1"/>
    <col min="4365" max="4365" width="13.85546875" style="1181" bestFit="1" customWidth="1"/>
    <col min="4366" max="4608" width="9.140625" style="1181"/>
    <col min="4609" max="4609" width="4.42578125" style="1181" customWidth="1"/>
    <col min="4610" max="4610" width="46.85546875" style="1181" customWidth="1"/>
    <col min="4611" max="4611" width="11.28515625" style="1181" bestFit="1" customWidth="1"/>
    <col min="4612" max="4612" width="11.42578125" style="1181" bestFit="1" customWidth="1"/>
    <col min="4613" max="4613" width="11.85546875" style="1181" customWidth="1"/>
    <col min="4614" max="4614" width="10" style="1181" customWidth="1"/>
    <col min="4615" max="4615" width="11.140625" style="1181" customWidth="1"/>
    <col min="4616" max="4616" width="10.28515625" style="1181" bestFit="1" customWidth="1"/>
    <col min="4617" max="4617" width="10.140625" style="1181" bestFit="1" customWidth="1"/>
    <col min="4618" max="4618" width="12" style="1181" bestFit="1" customWidth="1"/>
    <col min="4619" max="4619" width="14.28515625" style="1181" bestFit="1" customWidth="1"/>
    <col min="4620" max="4620" width="13.5703125" style="1181" bestFit="1" customWidth="1"/>
    <col min="4621" max="4621" width="13.85546875" style="1181" bestFit="1" customWidth="1"/>
    <col min="4622" max="4864" width="9.140625" style="1181"/>
    <col min="4865" max="4865" width="4.42578125" style="1181" customWidth="1"/>
    <col min="4866" max="4866" width="46.85546875" style="1181" customWidth="1"/>
    <col min="4867" max="4867" width="11.28515625" style="1181" bestFit="1" customWidth="1"/>
    <col min="4868" max="4868" width="11.42578125" style="1181" bestFit="1" customWidth="1"/>
    <col min="4869" max="4869" width="11.85546875" style="1181" customWidth="1"/>
    <col min="4870" max="4870" width="10" style="1181" customWidth="1"/>
    <col min="4871" max="4871" width="11.140625" style="1181" customWidth="1"/>
    <col min="4872" max="4872" width="10.28515625" style="1181" bestFit="1" customWidth="1"/>
    <col min="4873" max="4873" width="10.140625" style="1181" bestFit="1" customWidth="1"/>
    <col min="4874" max="4874" width="12" style="1181" bestFit="1" customWidth="1"/>
    <col min="4875" max="4875" width="14.28515625" style="1181" bestFit="1" customWidth="1"/>
    <col min="4876" max="4876" width="13.5703125" style="1181" bestFit="1" customWidth="1"/>
    <col min="4877" max="4877" width="13.85546875" style="1181" bestFit="1" customWidth="1"/>
    <col min="4878" max="5120" width="9.140625" style="1181"/>
    <col min="5121" max="5121" width="4.42578125" style="1181" customWidth="1"/>
    <col min="5122" max="5122" width="46.85546875" style="1181" customWidth="1"/>
    <col min="5123" max="5123" width="11.28515625" style="1181" bestFit="1" customWidth="1"/>
    <col min="5124" max="5124" width="11.42578125" style="1181" bestFit="1" customWidth="1"/>
    <col min="5125" max="5125" width="11.85546875" style="1181" customWidth="1"/>
    <col min="5126" max="5126" width="10" style="1181" customWidth="1"/>
    <col min="5127" max="5127" width="11.140625" style="1181" customWidth="1"/>
    <col min="5128" max="5128" width="10.28515625" style="1181" bestFit="1" customWidth="1"/>
    <col min="5129" max="5129" width="10.140625" style="1181" bestFit="1" customWidth="1"/>
    <col min="5130" max="5130" width="12" style="1181" bestFit="1" customWidth="1"/>
    <col min="5131" max="5131" width="14.28515625" style="1181" bestFit="1" customWidth="1"/>
    <col min="5132" max="5132" width="13.5703125" style="1181" bestFit="1" customWidth="1"/>
    <col min="5133" max="5133" width="13.85546875" style="1181" bestFit="1" customWidth="1"/>
    <col min="5134" max="5376" width="9.140625" style="1181"/>
    <col min="5377" max="5377" width="4.42578125" style="1181" customWidth="1"/>
    <col min="5378" max="5378" width="46.85546875" style="1181" customWidth="1"/>
    <col min="5379" max="5379" width="11.28515625" style="1181" bestFit="1" customWidth="1"/>
    <col min="5380" max="5380" width="11.42578125" style="1181" bestFit="1" customWidth="1"/>
    <col min="5381" max="5381" width="11.85546875" style="1181" customWidth="1"/>
    <col min="5382" max="5382" width="10" style="1181" customWidth="1"/>
    <col min="5383" max="5383" width="11.140625" style="1181" customWidth="1"/>
    <col min="5384" max="5384" width="10.28515625" style="1181" bestFit="1" customWidth="1"/>
    <col min="5385" max="5385" width="10.140625" style="1181" bestFit="1" customWidth="1"/>
    <col min="5386" max="5386" width="12" style="1181" bestFit="1" customWidth="1"/>
    <col min="5387" max="5387" width="14.28515625" style="1181" bestFit="1" customWidth="1"/>
    <col min="5388" max="5388" width="13.5703125" style="1181" bestFit="1" customWidth="1"/>
    <col min="5389" max="5389" width="13.85546875" style="1181" bestFit="1" customWidth="1"/>
    <col min="5390" max="5632" width="9.140625" style="1181"/>
    <col min="5633" max="5633" width="4.42578125" style="1181" customWidth="1"/>
    <col min="5634" max="5634" width="46.85546875" style="1181" customWidth="1"/>
    <col min="5635" max="5635" width="11.28515625" style="1181" bestFit="1" customWidth="1"/>
    <col min="5636" max="5636" width="11.42578125" style="1181" bestFit="1" customWidth="1"/>
    <col min="5637" max="5637" width="11.85546875" style="1181" customWidth="1"/>
    <col min="5638" max="5638" width="10" style="1181" customWidth="1"/>
    <col min="5639" max="5639" width="11.140625" style="1181" customWidth="1"/>
    <col min="5640" max="5640" width="10.28515625" style="1181" bestFit="1" customWidth="1"/>
    <col min="5641" max="5641" width="10.140625" style="1181" bestFit="1" customWidth="1"/>
    <col min="5642" max="5642" width="12" style="1181" bestFit="1" customWidth="1"/>
    <col min="5643" max="5643" width="14.28515625" style="1181" bestFit="1" customWidth="1"/>
    <col min="5644" max="5644" width="13.5703125" style="1181" bestFit="1" customWidth="1"/>
    <col min="5645" max="5645" width="13.85546875" style="1181" bestFit="1" customWidth="1"/>
    <col min="5646" max="5888" width="9.140625" style="1181"/>
    <col min="5889" max="5889" width="4.42578125" style="1181" customWidth="1"/>
    <col min="5890" max="5890" width="46.85546875" style="1181" customWidth="1"/>
    <col min="5891" max="5891" width="11.28515625" style="1181" bestFit="1" customWidth="1"/>
    <col min="5892" max="5892" width="11.42578125" style="1181" bestFit="1" customWidth="1"/>
    <col min="5893" max="5893" width="11.85546875" style="1181" customWidth="1"/>
    <col min="5894" max="5894" width="10" style="1181" customWidth="1"/>
    <col min="5895" max="5895" width="11.140625" style="1181" customWidth="1"/>
    <col min="5896" max="5896" width="10.28515625" style="1181" bestFit="1" customWidth="1"/>
    <col min="5897" max="5897" width="10.140625" style="1181" bestFit="1" customWidth="1"/>
    <col min="5898" max="5898" width="12" style="1181" bestFit="1" customWidth="1"/>
    <col min="5899" max="5899" width="14.28515625" style="1181" bestFit="1" customWidth="1"/>
    <col min="5900" max="5900" width="13.5703125" style="1181" bestFit="1" customWidth="1"/>
    <col min="5901" max="5901" width="13.85546875" style="1181" bestFit="1" customWidth="1"/>
    <col min="5902" max="6144" width="9.140625" style="1181"/>
    <col min="6145" max="6145" width="4.42578125" style="1181" customWidth="1"/>
    <col min="6146" max="6146" width="46.85546875" style="1181" customWidth="1"/>
    <col min="6147" max="6147" width="11.28515625" style="1181" bestFit="1" customWidth="1"/>
    <col min="6148" max="6148" width="11.42578125" style="1181" bestFit="1" customWidth="1"/>
    <col min="6149" max="6149" width="11.85546875" style="1181" customWidth="1"/>
    <col min="6150" max="6150" width="10" style="1181" customWidth="1"/>
    <col min="6151" max="6151" width="11.140625" style="1181" customWidth="1"/>
    <col min="6152" max="6152" width="10.28515625" style="1181" bestFit="1" customWidth="1"/>
    <col min="6153" max="6153" width="10.140625" style="1181" bestFit="1" customWidth="1"/>
    <col min="6154" max="6154" width="12" style="1181" bestFit="1" customWidth="1"/>
    <col min="6155" max="6155" width="14.28515625" style="1181" bestFit="1" customWidth="1"/>
    <col min="6156" max="6156" width="13.5703125" style="1181" bestFit="1" customWidth="1"/>
    <col min="6157" max="6157" width="13.85546875" style="1181" bestFit="1" customWidth="1"/>
    <col min="6158" max="6400" width="9.140625" style="1181"/>
    <col min="6401" max="6401" width="4.42578125" style="1181" customWidth="1"/>
    <col min="6402" max="6402" width="46.85546875" style="1181" customWidth="1"/>
    <col min="6403" max="6403" width="11.28515625" style="1181" bestFit="1" customWidth="1"/>
    <col min="6404" max="6404" width="11.42578125" style="1181" bestFit="1" customWidth="1"/>
    <col min="6405" max="6405" width="11.85546875" style="1181" customWidth="1"/>
    <col min="6406" max="6406" width="10" style="1181" customWidth="1"/>
    <col min="6407" max="6407" width="11.140625" style="1181" customWidth="1"/>
    <col min="6408" max="6408" width="10.28515625" style="1181" bestFit="1" customWidth="1"/>
    <col min="6409" max="6409" width="10.140625" style="1181" bestFit="1" customWidth="1"/>
    <col min="6410" max="6410" width="12" style="1181" bestFit="1" customWidth="1"/>
    <col min="6411" max="6411" width="14.28515625" style="1181" bestFit="1" customWidth="1"/>
    <col min="6412" max="6412" width="13.5703125" style="1181" bestFit="1" customWidth="1"/>
    <col min="6413" max="6413" width="13.85546875" style="1181" bestFit="1" customWidth="1"/>
    <col min="6414" max="6656" width="9.140625" style="1181"/>
    <col min="6657" max="6657" width="4.42578125" style="1181" customWidth="1"/>
    <col min="6658" max="6658" width="46.85546875" style="1181" customWidth="1"/>
    <col min="6659" max="6659" width="11.28515625" style="1181" bestFit="1" customWidth="1"/>
    <col min="6660" max="6660" width="11.42578125" style="1181" bestFit="1" customWidth="1"/>
    <col min="6661" max="6661" width="11.85546875" style="1181" customWidth="1"/>
    <col min="6662" max="6662" width="10" style="1181" customWidth="1"/>
    <col min="6663" max="6663" width="11.140625" style="1181" customWidth="1"/>
    <col min="6664" max="6664" width="10.28515625" style="1181" bestFit="1" customWidth="1"/>
    <col min="6665" max="6665" width="10.140625" style="1181" bestFit="1" customWidth="1"/>
    <col min="6666" max="6666" width="12" style="1181" bestFit="1" customWidth="1"/>
    <col min="6667" max="6667" width="14.28515625" style="1181" bestFit="1" customWidth="1"/>
    <col min="6668" max="6668" width="13.5703125" style="1181" bestFit="1" customWidth="1"/>
    <col min="6669" max="6669" width="13.85546875" style="1181" bestFit="1" customWidth="1"/>
    <col min="6670" max="6912" width="9.140625" style="1181"/>
    <col min="6913" max="6913" width="4.42578125" style="1181" customWidth="1"/>
    <col min="6914" max="6914" width="46.85546875" style="1181" customWidth="1"/>
    <col min="6915" max="6915" width="11.28515625" style="1181" bestFit="1" customWidth="1"/>
    <col min="6916" max="6916" width="11.42578125" style="1181" bestFit="1" customWidth="1"/>
    <col min="6917" max="6917" width="11.85546875" style="1181" customWidth="1"/>
    <col min="6918" max="6918" width="10" style="1181" customWidth="1"/>
    <col min="6919" max="6919" width="11.140625" style="1181" customWidth="1"/>
    <col min="6920" max="6920" width="10.28515625" style="1181" bestFit="1" customWidth="1"/>
    <col min="6921" max="6921" width="10.140625" style="1181" bestFit="1" customWidth="1"/>
    <col min="6922" max="6922" width="12" style="1181" bestFit="1" customWidth="1"/>
    <col min="6923" max="6923" width="14.28515625" style="1181" bestFit="1" customWidth="1"/>
    <col min="6924" max="6924" width="13.5703125" style="1181" bestFit="1" customWidth="1"/>
    <col min="6925" max="6925" width="13.85546875" style="1181" bestFit="1" customWidth="1"/>
    <col min="6926" max="7168" width="9.140625" style="1181"/>
    <col min="7169" max="7169" width="4.42578125" style="1181" customWidth="1"/>
    <col min="7170" max="7170" width="46.85546875" style="1181" customWidth="1"/>
    <col min="7171" max="7171" width="11.28515625" style="1181" bestFit="1" customWidth="1"/>
    <col min="7172" max="7172" width="11.42578125" style="1181" bestFit="1" customWidth="1"/>
    <col min="7173" max="7173" width="11.85546875" style="1181" customWidth="1"/>
    <col min="7174" max="7174" width="10" style="1181" customWidth="1"/>
    <col min="7175" max="7175" width="11.140625" style="1181" customWidth="1"/>
    <col min="7176" max="7176" width="10.28515625" style="1181" bestFit="1" customWidth="1"/>
    <col min="7177" max="7177" width="10.140625" style="1181" bestFit="1" customWidth="1"/>
    <col min="7178" max="7178" width="12" style="1181" bestFit="1" customWidth="1"/>
    <col min="7179" max="7179" width="14.28515625" style="1181" bestFit="1" customWidth="1"/>
    <col min="7180" max="7180" width="13.5703125" style="1181" bestFit="1" customWidth="1"/>
    <col min="7181" max="7181" width="13.85546875" style="1181" bestFit="1" customWidth="1"/>
    <col min="7182" max="7424" width="9.140625" style="1181"/>
    <col min="7425" max="7425" width="4.42578125" style="1181" customWidth="1"/>
    <col min="7426" max="7426" width="46.85546875" style="1181" customWidth="1"/>
    <col min="7427" max="7427" width="11.28515625" style="1181" bestFit="1" customWidth="1"/>
    <col min="7428" max="7428" width="11.42578125" style="1181" bestFit="1" customWidth="1"/>
    <col min="7429" max="7429" width="11.85546875" style="1181" customWidth="1"/>
    <col min="7430" max="7430" width="10" style="1181" customWidth="1"/>
    <col min="7431" max="7431" width="11.140625" style="1181" customWidth="1"/>
    <col min="7432" max="7432" width="10.28515625" style="1181" bestFit="1" customWidth="1"/>
    <col min="7433" max="7433" width="10.140625" style="1181" bestFit="1" customWidth="1"/>
    <col min="7434" max="7434" width="12" style="1181" bestFit="1" customWidth="1"/>
    <col min="7435" max="7435" width="14.28515625" style="1181" bestFit="1" customWidth="1"/>
    <col min="7436" max="7436" width="13.5703125" style="1181" bestFit="1" customWidth="1"/>
    <col min="7437" max="7437" width="13.85546875" style="1181" bestFit="1" customWidth="1"/>
    <col min="7438" max="7680" width="9.140625" style="1181"/>
    <col min="7681" max="7681" width="4.42578125" style="1181" customWidth="1"/>
    <col min="7682" max="7682" width="46.85546875" style="1181" customWidth="1"/>
    <col min="7683" max="7683" width="11.28515625" style="1181" bestFit="1" customWidth="1"/>
    <col min="7684" max="7684" width="11.42578125" style="1181" bestFit="1" customWidth="1"/>
    <col min="7685" max="7685" width="11.85546875" style="1181" customWidth="1"/>
    <col min="7686" max="7686" width="10" style="1181" customWidth="1"/>
    <col min="7687" max="7687" width="11.140625" style="1181" customWidth="1"/>
    <col min="7688" max="7688" width="10.28515625" style="1181" bestFit="1" customWidth="1"/>
    <col min="7689" max="7689" width="10.140625" style="1181" bestFit="1" customWidth="1"/>
    <col min="7690" max="7690" width="12" style="1181" bestFit="1" customWidth="1"/>
    <col min="7691" max="7691" width="14.28515625" style="1181" bestFit="1" customWidth="1"/>
    <col min="7692" max="7692" width="13.5703125" style="1181" bestFit="1" customWidth="1"/>
    <col min="7693" max="7693" width="13.85546875" style="1181" bestFit="1" customWidth="1"/>
    <col min="7694" max="7936" width="9.140625" style="1181"/>
    <col min="7937" max="7937" width="4.42578125" style="1181" customWidth="1"/>
    <col min="7938" max="7938" width="46.85546875" style="1181" customWidth="1"/>
    <col min="7939" max="7939" width="11.28515625" style="1181" bestFit="1" customWidth="1"/>
    <col min="7940" max="7940" width="11.42578125" style="1181" bestFit="1" customWidth="1"/>
    <col min="7941" max="7941" width="11.85546875" style="1181" customWidth="1"/>
    <col min="7942" max="7942" width="10" style="1181" customWidth="1"/>
    <col min="7943" max="7943" width="11.140625" style="1181" customWidth="1"/>
    <col min="7944" max="7944" width="10.28515625" style="1181" bestFit="1" customWidth="1"/>
    <col min="7945" max="7945" width="10.140625" style="1181" bestFit="1" customWidth="1"/>
    <col min="7946" max="7946" width="12" style="1181" bestFit="1" customWidth="1"/>
    <col min="7947" max="7947" width="14.28515625" style="1181" bestFit="1" customWidth="1"/>
    <col min="7948" max="7948" width="13.5703125" style="1181" bestFit="1" customWidth="1"/>
    <col min="7949" max="7949" width="13.85546875" style="1181" bestFit="1" customWidth="1"/>
    <col min="7950" max="8192" width="9.140625" style="1181"/>
    <col min="8193" max="8193" width="4.42578125" style="1181" customWidth="1"/>
    <col min="8194" max="8194" width="46.85546875" style="1181" customWidth="1"/>
    <col min="8195" max="8195" width="11.28515625" style="1181" bestFit="1" customWidth="1"/>
    <col min="8196" max="8196" width="11.42578125" style="1181" bestFit="1" customWidth="1"/>
    <col min="8197" max="8197" width="11.85546875" style="1181" customWidth="1"/>
    <col min="8198" max="8198" width="10" style="1181" customWidth="1"/>
    <col min="8199" max="8199" width="11.140625" style="1181" customWidth="1"/>
    <col min="8200" max="8200" width="10.28515625" style="1181" bestFit="1" customWidth="1"/>
    <col min="8201" max="8201" width="10.140625" style="1181" bestFit="1" customWidth="1"/>
    <col min="8202" max="8202" width="12" style="1181" bestFit="1" customWidth="1"/>
    <col min="8203" max="8203" width="14.28515625" style="1181" bestFit="1" customWidth="1"/>
    <col min="8204" max="8204" width="13.5703125" style="1181" bestFit="1" customWidth="1"/>
    <col min="8205" max="8205" width="13.85546875" style="1181" bestFit="1" customWidth="1"/>
    <col min="8206" max="8448" width="9.140625" style="1181"/>
    <col min="8449" max="8449" width="4.42578125" style="1181" customWidth="1"/>
    <col min="8450" max="8450" width="46.85546875" style="1181" customWidth="1"/>
    <col min="8451" max="8451" width="11.28515625" style="1181" bestFit="1" customWidth="1"/>
    <col min="8452" max="8452" width="11.42578125" style="1181" bestFit="1" customWidth="1"/>
    <col min="8453" max="8453" width="11.85546875" style="1181" customWidth="1"/>
    <col min="8454" max="8454" width="10" style="1181" customWidth="1"/>
    <col min="8455" max="8455" width="11.140625" style="1181" customWidth="1"/>
    <col min="8456" max="8456" width="10.28515625" style="1181" bestFit="1" customWidth="1"/>
    <col min="8457" max="8457" width="10.140625" style="1181" bestFit="1" customWidth="1"/>
    <col min="8458" max="8458" width="12" style="1181" bestFit="1" customWidth="1"/>
    <col min="8459" max="8459" width="14.28515625" style="1181" bestFit="1" customWidth="1"/>
    <col min="8460" max="8460" width="13.5703125" style="1181" bestFit="1" customWidth="1"/>
    <col min="8461" max="8461" width="13.85546875" style="1181" bestFit="1" customWidth="1"/>
    <col min="8462" max="8704" width="9.140625" style="1181"/>
    <col min="8705" max="8705" width="4.42578125" style="1181" customWidth="1"/>
    <col min="8706" max="8706" width="46.85546875" style="1181" customWidth="1"/>
    <col min="8707" max="8707" width="11.28515625" style="1181" bestFit="1" customWidth="1"/>
    <col min="8708" max="8708" width="11.42578125" style="1181" bestFit="1" customWidth="1"/>
    <col min="8709" max="8709" width="11.85546875" style="1181" customWidth="1"/>
    <col min="8710" max="8710" width="10" style="1181" customWidth="1"/>
    <col min="8711" max="8711" width="11.140625" style="1181" customWidth="1"/>
    <col min="8712" max="8712" width="10.28515625" style="1181" bestFit="1" customWidth="1"/>
    <col min="8713" max="8713" width="10.140625" style="1181" bestFit="1" customWidth="1"/>
    <col min="8714" max="8714" width="12" style="1181" bestFit="1" customWidth="1"/>
    <col min="8715" max="8715" width="14.28515625" style="1181" bestFit="1" customWidth="1"/>
    <col min="8716" max="8716" width="13.5703125" style="1181" bestFit="1" customWidth="1"/>
    <col min="8717" max="8717" width="13.85546875" style="1181" bestFit="1" customWidth="1"/>
    <col min="8718" max="8960" width="9.140625" style="1181"/>
    <col min="8961" max="8961" width="4.42578125" style="1181" customWidth="1"/>
    <col min="8962" max="8962" width="46.85546875" style="1181" customWidth="1"/>
    <col min="8963" max="8963" width="11.28515625" style="1181" bestFit="1" customWidth="1"/>
    <col min="8964" max="8964" width="11.42578125" style="1181" bestFit="1" customWidth="1"/>
    <col min="8965" max="8965" width="11.85546875" style="1181" customWidth="1"/>
    <col min="8966" max="8966" width="10" style="1181" customWidth="1"/>
    <col min="8967" max="8967" width="11.140625" style="1181" customWidth="1"/>
    <col min="8968" max="8968" width="10.28515625" style="1181" bestFit="1" customWidth="1"/>
    <col min="8969" max="8969" width="10.140625" style="1181" bestFit="1" customWidth="1"/>
    <col min="8970" max="8970" width="12" style="1181" bestFit="1" customWidth="1"/>
    <col min="8971" max="8971" width="14.28515625" style="1181" bestFit="1" customWidth="1"/>
    <col min="8972" max="8972" width="13.5703125" style="1181" bestFit="1" customWidth="1"/>
    <col min="8973" max="8973" width="13.85546875" style="1181" bestFit="1" customWidth="1"/>
    <col min="8974" max="9216" width="9.140625" style="1181"/>
    <col min="9217" max="9217" width="4.42578125" style="1181" customWidth="1"/>
    <col min="9218" max="9218" width="46.85546875" style="1181" customWidth="1"/>
    <col min="9219" max="9219" width="11.28515625" style="1181" bestFit="1" customWidth="1"/>
    <col min="9220" max="9220" width="11.42578125" style="1181" bestFit="1" customWidth="1"/>
    <col min="9221" max="9221" width="11.85546875" style="1181" customWidth="1"/>
    <col min="9222" max="9222" width="10" style="1181" customWidth="1"/>
    <col min="9223" max="9223" width="11.140625" style="1181" customWidth="1"/>
    <col min="9224" max="9224" width="10.28515625" style="1181" bestFit="1" customWidth="1"/>
    <col min="9225" max="9225" width="10.140625" style="1181" bestFit="1" customWidth="1"/>
    <col min="9226" max="9226" width="12" style="1181" bestFit="1" customWidth="1"/>
    <col min="9227" max="9227" width="14.28515625" style="1181" bestFit="1" customWidth="1"/>
    <col min="9228" max="9228" width="13.5703125" style="1181" bestFit="1" customWidth="1"/>
    <col min="9229" max="9229" width="13.85546875" style="1181" bestFit="1" customWidth="1"/>
    <col min="9230" max="9472" width="9.140625" style="1181"/>
    <col min="9473" max="9473" width="4.42578125" style="1181" customWidth="1"/>
    <col min="9474" max="9474" width="46.85546875" style="1181" customWidth="1"/>
    <col min="9475" max="9475" width="11.28515625" style="1181" bestFit="1" customWidth="1"/>
    <col min="9476" max="9476" width="11.42578125" style="1181" bestFit="1" customWidth="1"/>
    <col min="9477" max="9477" width="11.85546875" style="1181" customWidth="1"/>
    <col min="9478" max="9478" width="10" style="1181" customWidth="1"/>
    <col min="9479" max="9479" width="11.140625" style="1181" customWidth="1"/>
    <col min="9480" max="9480" width="10.28515625" style="1181" bestFit="1" customWidth="1"/>
    <col min="9481" max="9481" width="10.140625" style="1181" bestFit="1" customWidth="1"/>
    <col min="9482" max="9482" width="12" style="1181" bestFit="1" customWidth="1"/>
    <col min="9483" max="9483" width="14.28515625" style="1181" bestFit="1" customWidth="1"/>
    <col min="9484" max="9484" width="13.5703125" style="1181" bestFit="1" customWidth="1"/>
    <col min="9485" max="9485" width="13.85546875" style="1181" bestFit="1" customWidth="1"/>
    <col min="9486" max="9728" width="9.140625" style="1181"/>
    <col min="9729" max="9729" width="4.42578125" style="1181" customWidth="1"/>
    <col min="9730" max="9730" width="46.85546875" style="1181" customWidth="1"/>
    <col min="9731" max="9731" width="11.28515625" style="1181" bestFit="1" customWidth="1"/>
    <col min="9732" max="9732" width="11.42578125" style="1181" bestFit="1" customWidth="1"/>
    <col min="9733" max="9733" width="11.85546875" style="1181" customWidth="1"/>
    <col min="9734" max="9734" width="10" style="1181" customWidth="1"/>
    <col min="9735" max="9735" width="11.140625" style="1181" customWidth="1"/>
    <col min="9736" max="9736" width="10.28515625" style="1181" bestFit="1" customWidth="1"/>
    <col min="9737" max="9737" width="10.140625" style="1181" bestFit="1" customWidth="1"/>
    <col min="9738" max="9738" width="12" style="1181" bestFit="1" customWidth="1"/>
    <col min="9739" max="9739" width="14.28515625" style="1181" bestFit="1" customWidth="1"/>
    <col min="9740" max="9740" width="13.5703125" style="1181" bestFit="1" customWidth="1"/>
    <col min="9741" max="9741" width="13.85546875" style="1181" bestFit="1" customWidth="1"/>
    <col min="9742" max="9984" width="9.140625" style="1181"/>
    <col min="9985" max="9985" width="4.42578125" style="1181" customWidth="1"/>
    <col min="9986" max="9986" width="46.85546875" style="1181" customWidth="1"/>
    <col min="9987" max="9987" width="11.28515625" style="1181" bestFit="1" customWidth="1"/>
    <col min="9988" max="9988" width="11.42578125" style="1181" bestFit="1" customWidth="1"/>
    <col min="9989" max="9989" width="11.85546875" style="1181" customWidth="1"/>
    <col min="9990" max="9990" width="10" style="1181" customWidth="1"/>
    <col min="9991" max="9991" width="11.140625" style="1181" customWidth="1"/>
    <col min="9992" max="9992" width="10.28515625" style="1181" bestFit="1" customWidth="1"/>
    <col min="9993" max="9993" width="10.140625" style="1181" bestFit="1" customWidth="1"/>
    <col min="9994" max="9994" width="12" style="1181" bestFit="1" customWidth="1"/>
    <col min="9995" max="9995" width="14.28515625" style="1181" bestFit="1" customWidth="1"/>
    <col min="9996" max="9996" width="13.5703125" style="1181" bestFit="1" customWidth="1"/>
    <col min="9997" max="9997" width="13.85546875" style="1181" bestFit="1" customWidth="1"/>
    <col min="9998" max="10240" width="9.140625" style="1181"/>
    <col min="10241" max="10241" width="4.42578125" style="1181" customWidth="1"/>
    <col min="10242" max="10242" width="46.85546875" style="1181" customWidth="1"/>
    <col min="10243" max="10243" width="11.28515625" style="1181" bestFit="1" customWidth="1"/>
    <col min="10244" max="10244" width="11.42578125" style="1181" bestFit="1" customWidth="1"/>
    <col min="10245" max="10245" width="11.85546875" style="1181" customWidth="1"/>
    <col min="10246" max="10246" width="10" style="1181" customWidth="1"/>
    <col min="10247" max="10247" width="11.140625" style="1181" customWidth="1"/>
    <col min="10248" max="10248" width="10.28515625" style="1181" bestFit="1" customWidth="1"/>
    <col min="10249" max="10249" width="10.140625" style="1181" bestFit="1" customWidth="1"/>
    <col min="10250" max="10250" width="12" style="1181" bestFit="1" customWidth="1"/>
    <col min="10251" max="10251" width="14.28515625" style="1181" bestFit="1" customWidth="1"/>
    <col min="10252" max="10252" width="13.5703125" style="1181" bestFit="1" customWidth="1"/>
    <col min="10253" max="10253" width="13.85546875" style="1181" bestFit="1" customWidth="1"/>
    <col min="10254" max="10496" width="9.140625" style="1181"/>
    <col min="10497" max="10497" width="4.42578125" style="1181" customWidth="1"/>
    <col min="10498" max="10498" width="46.85546875" style="1181" customWidth="1"/>
    <col min="10499" max="10499" width="11.28515625" style="1181" bestFit="1" customWidth="1"/>
    <col min="10500" max="10500" width="11.42578125" style="1181" bestFit="1" customWidth="1"/>
    <col min="10501" max="10501" width="11.85546875" style="1181" customWidth="1"/>
    <col min="10502" max="10502" width="10" style="1181" customWidth="1"/>
    <col min="10503" max="10503" width="11.140625" style="1181" customWidth="1"/>
    <col min="10504" max="10504" width="10.28515625" style="1181" bestFit="1" customWidth="1"/>
    <col min="10505" max="10505" width="10.140625" style="1181" bestFit="1" customWidth="1"/>
    <col min="10506" max="10506" width="12" style="1181" bestFit="1" customWidth="1"/>
    <col min="10507" max="10507" width="14.28515625" style="1181" bestFit="1" customWidth="1"/>
    <col min="10508" max="10508" width="13.5703125" style="1181" bestFit="1" customWidth="1"/>
    <col min="10509" max="10509" width="13.85546875" style="1181" bestFit="1" customWidth="1"/>
    <col min="10510" max="10752" width="9.140625" style="1181"/>
    <col min="10753" max="10753" width="4.42578125" style="1181" customWidth="1"/>
    <col min="10754" max="10754" width="46.85546875" style="1181" customWidth="1"/>
    <col min="10755" max="10755" width="11.28515625" style="1181" bestFit="1" customWidth="1"/>
    <col min="10756" max="10756" width="11.42578125" style="1181" bestFit="1" customWidth="1"/>
    <col min="10757" max="10757" width="11.85546875" style="1181" customWidth="1"/>
    <col min="10758" max="10758" width="10" style="1181" customWidth="1"/>
    <col min="10759" max="10759" width="11.140625" style="1181" customWidth="1"/>
    <col min="10760" max="10760" width="10.28515625" style="1181" bestFit="1" customWidth="1"/>
    <col min="10761" max="10761" width="10.140625" style="1181" bestFit="1" customWidth="1"/>
    <col min="10762" max="10762" width="12" style="1181" bestFit="1" customWidth="1"/>
    <col min="10763" max="10763" width="14.28515625" style="1181" bestFit="1" customWidth="1"/>
    <col min="10764" max="10764" width="13.5703125" style="1181" bestFit="1" customWidth="1"/>
    <col min="10765" max="10765" width="13.85546875" style="1181" bestFit="1" customWidth="1"/>
    <col min="10766" max="11008" width="9.140625" style="1181"/>
    <col min="11009" max="11009" width="4.42578125" style="1181" customWidth="1"/>
    <col min="11010" max="11010" width="46.85546875" style="1181" customWidth="1"/>
    <col min="11011" max="11011" width="11.28515625" style="1181" bestFit="1" customWidth="1"/>
    <col min="11012" max="11012" width="11.42578125" style="1181" bestFit="1" customWidth="1"/>
    <col min="11013" max="11013" width="11.85546875" style="1181" customWidth="1"/>
    <col min="11014" max="11014" width="10" style="1181" customWidth="1"/>
    <col min="11015" max="11015" width="11.140625" style="1181" customWidth="1"/>
    <col min="11016" max="11016" width="10.28515625" style="1181" bestFit="1" customWidth="1"/>
    <col min="11017" max="11017" width="10.140625" style="1181" bestFit="1" customWidth="1"/>
    <col min="11018" max="11018" width="12" style="1181" bestFit="1" customWidth="1"/>
    <col min="11019" max="11019" width="14.28515625" style="1181" bestFit="1" customWidth="1"/>
    <col min="11020" max="11020" width="13.5703125" style="1181" bestFit="1" customWidth="1"/>
    <col min="11021" max="11021" width="13.85546875" style="1181" bestFit="1" customWidth="1"/>
    <col min="11022" max="11264" width="9.140625" style="1181"/>
    <col min="11265" max="11265" width="4.42578125" style="1181" customWidth="1"/>
    <col min="11266" max="11266" width="46.85546875" style="1181" customWidth="1"/>
    <col min="11267" max="11267" width="11.28515625" style="1181" bestFit="1" customWidth="1"/>
    <col min="11268" max="11268" width="11.42578125" style="1181" bestFit="1" customWidth="1"/>
    <col min="11269" max="11269" width="11.85546875" style="1181" customWidth="1"/>
    <col min="11270" max="11270" width="10" style="1181" customWidth="1"/>
    <col min="11271" max="11271" width="11.140625" style="1181" customWidth="1"/>
    <col min="11272" max="11272" width="10.28515625" style="1181" bestFit="1" customWidth="1"/>
    <col min="11273" max="11273" width="10.140625" style="1181" bestFit="1" customWidth="1"/>
    <col min="11274" max="11274" width="12" style="1181" bestFit="1" customWidth="1"/>
    <col min="11275" max="11275" width="14.28515625" style="1181" bestFit="1" customWidth="1"/>
    <col min="11276" max="11276" width="13.5703125" style="1181" bestFit="1" customWidth="1"/>
    <col min="11277" max="11277" width="13.85546875" style="1181" bestFit="1" customWidth="1"/>
    <col min="11278" max="11520" width="9.140625" style="1181"/>
    <col min="11521" max="11521" width="4.42578125" style="1181" customWidth="1"/>
    <col min="11522" max="11522" width="46.85546875" style="1181" customWidth="1"/>
    <col min="11523" max="11523" width="11.28515625" style="1181" bestFit="1" customWidth="1"/>
    <col min="11524" max="11524" width="11.42578125" style="1181" bestFit="1" customWidth="1"/>
    <col min="11525" max="11525" width="11.85546875" style="1181" customWidth="1"/>
    <col min="11526" max="11526" width="10" style="1181" customWidth="1"/>
    <col min="11527" max="11527" width="11.140625" style="1181" customWidth="1"/>
    <col min="11528" max="11528" width="10.28515625" style="1181" bestFit="1" customWidth="1"/>
    <col min="11529" max="11529" width="10.140625" style="1181" bestFit="1" customWidth="1"/>
    <col min="11530" max="11530" width="12" style="1181" bestFit="1" customWidth="1"/>
    <col min="11531" max="11531" width="14.28515625" style="1181" bestFit="1" customWidth="1"/>
    <col min="11532" max="11532" width="13.5703125" style="1181" bestFit="1" customWidth="1"/>
    <col min="11533" max="11533" width="13.85546875" style="1181" bestFit="1" customWidth="1"/>
    <col min="11534" max="11776" width="9.140625" style="1181"/>
    <col min="11777" max="11777" width="4.42578125" style="1181" customWidth="1"/>
    <col min="11778" max="11778" width="46.85546875" style="1181" customWidth="1"/>
    <col min="11779" max="11779" width="11.28515625" style="1181" bestFit="1" customWidth="1"/>
    <col min="11780" max="11780" width="11.42578125" style="1181" bestFit="1" customWidth="1"/>
    <col min="11781" max="11781" width="11.85546875" style="1181" customWidth="1"/>
    <col min="11782" max="11782" width="10" style="1181" customWidth="1"/>
    <col min="11783" max="11783" width="11.140625" style="1181" customWidth="1"/>
    <col min="11784" max="11784" width="10.28515625" style="1181" bestFit="1" customWidth="1"/>
    <col min="11785" max="11785" width="10.140625" style="1181" bestFit="1" customWidth="1"/>
    <col min="11786" max="11786" width="12" style="1181" bestFit="1" customWidth="1"/>
    <col min="11787" max="11787" width="14.28515625" style="1181" bestFit="1" customWidth="1"/>
    <col min="11788" max="11788" width="13.5703125" style="1181" bestFit="1" customWidth="1"/>
    <col min="11789" max="11789" width="13.85546875" style="1181" bestFit="1" customWidth="1"/>
    <col min="11790" max="12032" width="9.140625" style="1181"/>
    <col min="12033" max="12033" width="4.42578125" style="1181" customWidth="1"/>
    <col min="12034" max="12034" width="46.85546875" style="1181" customWidth="1"/>
    <col min="12035" max="12035" width="11.28515625" style="1181" bestFit="1" customWidth="1"/>
    <col min="12036" max="12036" width="11.42578125" style="1181" bestFit="1" customWidth="1"/>
    <col min="12037" max="12037" width="11.85546875" style="1181" customWidth="1"/>
    <col min="12038" max="12038" width="10" style="1181" customWidth="1"/>
    <col min="12039" max="12039" width="11.140625" style="1181" customWidth="1"/>
    <col min="12040" max="12040" width="10.28515625" style="1181" bestFit="1" customWidth="1"/>
    <col min="12041" max="12041" width="10.140625" style="1181" bestFit="1" customWidth="1"/>
    <col min="12042" max="12042" width="12" style="1181" bestFit="1" customWidth="1"/>
    <col min="12043" max="12043" width="14.28515625" style="1181" bestFit="1" customWidth="1"/>
    <col min="12044" max="12044" width="13.5703125" style="1181" bestFit="1" customWidth="1"/>
    <col min="12045" max="12045" width="13.85546875" style="1181" bestFit="1" customWidth="1"/>
    <col min="12046" max="12288" width="9.140625" style="1181"/>
    <col min="12289" max="12289" width="4.42578125" style="1181" customWidth="1"/>
    <col min="12290" max="12290" width="46.85546875" style="1181" customWidth="1"/>
    <col min="12291" max="12291" width="11.28515625" style="1181" bestFit="1" customWidth="1"/>
    <col min="12292" max="12292" width="11.42578125" style="1181" bestFit="1" customWidth="1"/>
    <col min="12293" max="12293" width="11.85546875" style="1181" customWidth="1"/>
    <col min="12294" max="12294" width="10" style="1181" customWidth="1"/>
    <col min="12295" max="12295" width="11.140625" style="1181" customWidth="1"/>
    <col min="12296" max="12296" width="10.28515625" style="1181" bestFit="1" customWidth="1"/>
    <col min="12297" max="12297" width="10.140625" style="1181" bestFit="1" customWidth="1"/>
    <col min="12298" max="12298" width="12" style="1181" bestFit="1" customWidth="1"/>
    <col min="12299" max="12299" width="14.28515625" style="1181" bestFit="1" customWidth="1"/>
    <col min="12300" max="12300" width="13.5703125" style="1181" bestFit="1" customWidth="1"/>
    <col min="12301" max="12301" width="13.85546875" style="1181" bestFit="1" customWidth="1"/>
    <col min="12302" max="12544" width="9.140625" style="1181"/>
    <col min="12545" max="12545" width="4.42578125" style="1181" customWidth="1"/>
    <col min="12546" max="12546" width="46.85546875" style="1181" customWidth="1"/>
    <col min="12547" max="12547" width="11.28515625" style="1181" bestFit="1" customWidth="1"/>
    <col min="12548" max="12548" width="11.42578125" style="1181" bestFit="1" customWidth="1"/>
    <col min="12549" max="12549" width="11.85546875" style="1181" customWidth="1"/>
    <col min="12550" max="12550" width="10" style="1181" customWidth="1"/>
    <col min="12551" max="12551" width="11.140625" style="1181" customWidth="1"/>
    <col min="12552" max="12552" width="10.28515625" style="1181" bestFit="1" customWidth="1"/>
    <col min="12553" max="12553" width="10.140625" style="1181" bestFit="1" customWidth="1"/>
    <col min="12554" max="12554" width="12" style="1181" bestFit="1" customWidth="1"/>
    <col min="12555" max="12555" width="14.28515625" style="1181" bestFit="1" customWidth="1"/>
    <col min="12556" max="12556" width="13.5703125" style="1181" bestFit="1" customWidth="1"/>
    <col min="12557" max="12557" width="13.85546875" style="1181" bestFit="1" customWidth="1"/>
    <col min="12558" max="12800" width="9.140625" style="1181"/>
    <col min="12801" max="12801" width="4.42578125" style="1181" customWidth="1"/>
    <col min="12802" max="12802" width="46.85546875" style="1181" customWidth="1"/>
    <col min="12803" max="12803" width="11.28515625" style="1181" bestFit="1" customWidth="1"/>
    <col min="12804" max="12804" width="11.42578125" style="1181" bestFit="1" customWidth="1"/>
    <col min="12805" max="12805" width="11.85546875" style="1181" customWidth="1"/>
    <col min="12806" max="12806" width="10" style="1181" customWidth="1"/>
    <col min="12807" max="12807" width="11.140625" style="1181" customWidth="1"/>
    <col min="12808" max="12808" width="10.28515625" style="1181" bestFit="1" customWidth="1"/>
    <col min="12809" max="12809" width="10.140625" style="1181" bestFit="1" customWidth="1"/>
    <col min="12810" max="12810" width="12" style="1181" bestFit="1" customWidth="1"/>
    <col min="12811" max="12811" width="14.28515625" style="1181" bestFit="1" customWidth="1"/>
    <col min="12812" max="12812" width="13.5703125" style="1181" bestFit="1" customWidth="1"/>
    <col min="12813" max="12813" width="13.85546875" style="1181" bestFit="1" customWidth="1"/>
    <col min="12814" max="13056" width="9.140625" style="1181"/>
    <col min="13057" max="13057" width="4.42578125" style="1181" customWidth="1"/>
    <col min="13058" max="13058" width="46.85546875" style="1181" customWidth="1"/>
    <col min="13059" max="13059" width="11.28515625" style="1181" bestFit="1" customWidth="1"/>
    <col min="13060" max="13060" width="11.42578125" style="1181" bestFit="1" customWidth="1"/>
    <col min="13061" max="13061" width="11.85546875" style="1181" customWidth="1"/>
    <col min="13062" max="13062" width="10" style="1181" customWidth="1"/>
    <col min="13063" max="13063" width="11.140625" style="1181" customWidth="1"/>
    <col min="13064" max="13064" width="10.28515625" style="1181" bestFit="1" customWidth="1"/>
    <col min="13065" max="13065" width="10.140625" style="1181" bestFit="1" customWidth="1"/>
    <col min="13066" max="13066" width="12" style="1181" bestFit="1" customWidth="1"/>
    <col min="13067" max="13067" width="14.28515625" style="1181" bestFit="1" customWidth="1"/>
    <col min="13068" max="13068" width="13.5703125" style="1181" bestFit="1" customWidth="1"/>
    <col min="13069" max="13069" width="13.85546875" style="1181" bestFit="1" customWidth="1"/>
    <col min="13070" max="13312" width="9.140625" style="1181"/>
    <col min="13313" max="13313" width="4.42578125" style="1181" customWidth="1"/>
    <col min="13314" max="13314" width="46.85546875" style="1181" customWidth="1"/>
    <col min="13315" max="13315" width="11.28515625" style="1181" bestFit="1" customWidth="1"/>
    <col min="13316" max="13316" width="11.42578125" style="1181" bestFit="1" customWidth="1"/>
    <col min="13317" max="13317" width="11.85546875" style="1181" customWidth="1"/>
    <col min="13318" max="13318" width="10" style="1181" customWidth="1"/>
    <col min="13319" max="13319" width="11.140625" style="1181" customWidth="1"/>
    <col min="13320" max="13320" width="10.28515625" style="1181" bestFit="1" customWidth="1"/>
    <col min="13321" max="13321" width="10.140625" style="1181" bestFit="1" customWidth="1"/>
    <col min="13322" max="13322" width="12" style="1181" bestFit="1" customWidth="1"/>
    <col min="13323" max="13323" width="14.28515625" style="1181" bestFit="1" customWidth="1"/>
    <col min="13324" max="13324" width="13.5703125" style="1181" bestFit="1" customWidth="1"/>
    <col min="13325" max="13325" width="13.85546875" style="1181" bestFit="1" customWidth="1"/>
    <col min="13326" max="13568" width="9.140625" style="1181"/>
    <col min="13569" max="13569" width="4.42578125" style="1181" customWidth="1"/>
    <col min="13570" max="13570" width="46.85546875" style="1181" customWidth="1"/>
    <col min="13571" max="13571" width="11.28515625" style="1181" bestFit="1" customWidth="1"/>
    <col min="13572" max="13572" width="11.42578125" style="1181" bestFit="1" customWidth="1"/>
    <col min="13573" max="13573" width="11.85546875" style="1181" customWidth="1"/>
    <col min="13574" max="13574" width="10" style="1181" customWidth="1"/>
    <col min="13575" max="13575" width="11.140625" style="1181" customWidth="1"/>
    <col min="13576" max="13576" width="10.28515625" style="1181" bestFit="1" customWidth="1"/>
    <col min="13577" max="13577" width="10.140625" style="1181" bestFit="1" customWidth="1"/>
    <col min="13578" max="13578" width="12" style="1181" bestFit="1" customWidth="1"/>
    <col min="13579" max="13579" width="14.28515625" style="1181" bestFit="1" customWidth="1"/>
    <col min="13580" max="13580" width="13.5703125" style="1181" bestFit="1" customWidth="1"/>
    <col min="13581" max="13581" width="13.85546875" style="1181" bestFit="1" customWidth="1"/>
    <col min="13582" max="13824" width="9.140625" style="1181"/>
    <col min="13825" max="13825" width="4.42578125" style="1181" customWidth="1"/>
    <col min="13826" max="13826" width="46.85546875" style="1181" customWidth="1"/>
    <col min="13827" max="13827" width="11.28515625" style="1181" bestFit="1" customWidth="1"/>
    <col min="13828" max="13828" width="11.42578125" style="1181" bestFit="1" customWidth="1"/>
    <col min="13829" max="13829" width="11.85546875" style="1181" customWidth="1"/>
    <col min="13830" max="13830" width="10" style="1181" customWidth="1"/>
    <col min="13831" max="13831" width="11.140625" style="1181" customWidth="1"/>
    <col min="13832" max="13832" width="10.28515625" style="1181" bestFit="1" customWidth="1"/>
    <col min="13833" max="13833" width="10.140625" style="1181" bestFit="1" customWidth="1"/>
    <col min="13834" max="13834" width="12" style="1181" bestFit="1" customWidth="1"/>
    <col min="13835" max="13835" width="14.28515625" style="1181" bestFit="1" customWidth="1"/>
    <col min="13836" max="13836" width="13.5703125" style="1181" bestFit="1" customWidth="1"/>
    <col min="13837" max="13837" width="13.85546875" style="1181" bestFit="1" customWidth="1"/>
    <col min="13838" max="14080" width="9.140625" style="1181"/>
    <col min="14081" max="14081" width="4.42578125" style="1181" customWidth="1"/>
    <col min="14082" max="14082" width="46.85546875" style="1181" customWidth="1"/>
    <col min="14083" max="14083" width="11.28515625" style="1181" bestFit="1" customWidth="1"/>
    <col min="14084" max="14084" width="11.42578125" style="1181" bestFit="1" customWidth="1"/>
    <col min="14085" max="14085" width="11.85546875" style="1181" customWidth="1"/>
    <col min="14086" max="14086" width="10" style="1181" customWidth="1"/>
    <col min="14087" max="14087" width="11.140625" style="1181" customWidth="1"/>
    <col min="14088" max="14088" width="10.28515625" style="1181" bestFit="1" customWidth="1"/>
    <col min="14089" max="14089" width="10.140625" style="1181" bestFit="1" customWidth="1"/>
    <col min="14090" max="14090" width="12" style="1181" bestFit="1" customWidth="1"/>
    <col min="14091" max="14091" width="14.28515625" style="1181" bestFit="1" customWidth="1"/>
    <col min="14092" max="14092" width="13.5703125" style="1181" bestFit="1" customWidth="1"/>
    <col min="14093" max="14093" width="13.85546875" style="1181" bestFit="1" customWidth="1"/>
    <col min="14094" max="14336" width="9.140625" style="1181"/>
    <col min="14337" max="14337" width="4.42578125" style="1181" customWidth="1"/>
    <col min="14338" max="14338" width="46.85546875" style="1181" customWidth="1"/>
    <col min="14339" max="14339" width="11.28515625" style="1181" bestFit="1" customWidth="1"/>
    <col min="14340" max="14340" width="11.42578125" style="1181" bestFit="1" customWidth="1"/>
    <col min="14341" max="14341" width="11.85546875" style="1181" customWidth="1"/>
    <col min="14342" max="14342" width="10" style="1181" customWidth="1"/>
    <col min="14343" max="14343" width="11.140625" style="1181" customWidth="1"/>
    <col min="14344" max="14344" width="10.28515625" style="1181" bestFit="1" customWidth="1"/>
    <col min="14345" max="14345" width="10.140625" style="1181" bestFit="1" customWidth="1"/>
    <col min="14346" max="14346" width="12" style="1181" bestFit="1" customWidth="1"/>
    <col min="14347" max="14347" width="14.28515625" style="1181" bestFit="1" customWidth="1"/>
    <col min="14348" max="14348" width="13.5703125" style="1181" bestFit="1" customWidth="1"/>
    <col min="14349" max="14349" width="13.85546875" style="1181" bestFit="1" customWidth="1"/>
    <col min="14350" max="14592" width="9.140625" style="1181"/>
    <col min="14593" max="14593" width="4.42578125" style="1181" customWidth="1"/>
    <col min="14594" max="14594" width="46.85546875" style="1181" customWidth="1"/>
    <col min="14595" max="14595" width="11.28515625" style="1181" bestFit="1" customWidth="1"/>
    <col min="14596" max="14596" width="11.42578125" style="1181" bestFit="1" customWidth="1"/>
    <col min="14597" max="14597" width="11.85546875" style="1181" customWidth="1"/>
    <col min="14598" max="14598" width="10" style="1181" customWidth="1"/>
    <col min="14599" max="14599" width="11.140625" style="1181" customWidth="1"/>
    <col min="14600" max="14600" width="10.28515625" style="1181" bestFit="1" customWidth="1"/>
    <col min="14601" max="14601" width="10.140625" style="1181" bestFit="1" customWidth="1"/>
    <col min="14602" max="14602" width="12" style="1181" bestFit="1" customWidth="1"/>
    <col min="14603" max="14603" width="14.28515625" style="1181" bestFit="1" customWidth="1"/>
    <col min="14604" max="14604" width="13.5703125" style="1181" bestFit="1" customWidth="1"/>
    <col min="14605" max="14605" width="13.85546875" style="1181" bestFit="1" customWidth="1"/>
    <col min="14606" max="14848" width="9.140625" style="1181"/>
    <col min="14849" max="14849" width="4.42578125" style="1181" customWidth="1"/>
    <col min="14850" max="14850" width="46.85546875" style="1181" customWidth="1"/>
    <col min="14851" max="14851" width="11.28515625" style="1181" bestFit="1" customWidth="1"/>
    <col min="14852" max="14852" width="11.42578125" style="1181" bestFit="1" customWidth="1"/>
    <col min="14853" max="14853" width="11.85546875" style="1181" customWidth="1"/>
    <col min="14854" max="14854" width="10" style="1181" customWidth="1"/>
    <col min="14855" max="14855" width="11.140625" style="1181" customWidth="1"/>
    <col min="14856" max="14856" width="10.28515625" style="1181" bestFit="1" customWidth="1"/>
    <col min="14857" max="14857" width="10.140625" style="1181" bestFit="1" customWidth="1"/>
    <col min="14858" max="14858" width="12" style="1181" bestFit="1" customWidth="1"/>
    <col min="14859" max="14859" width="14.28515625" style="1181" bestFit="1" customWidth="1"/>
    <col min="14860" max="14860" width="13.5703125" style="1181" bestFit="1" customWidth="1"/>
    <col min="14861" max="14861" width="13.85546875" style="1181" bestFit="1" customWidth="1"/>
    <col min="14862" max="15104" width="9.140625" style="1181"/>
    <col min="15105" max="15105" width="4.42578125" style="1181" customWidth="1"/>
    <col min="15106" max="15106" width="46.85546875" style="1181" customWidth="1"/>
    <col min="15107" max="15107" width="11.28515625" style="1181" bestFit="1" customWidth="1"/>
    <col min="15108" max="15108" width="11.42578125" style="1181" bestFit="1" customWidth="1"/>
    <col min="15109" max="15109" width="11.85546875" style="1181" customWidth="1"/>
    <col min="15110" max="15110" width="10" style="1181" customWidth="1"/>
    <col min="15111" max="15111" width="11.140625" style="1181" customWidth="1"/>
    <col min="15112" max="15112" width="10.28515625" style="1181" bestFit="1" customWidth="1"/>
    <col min="15113" max="15113" width="10.140625" style="1181" bestFit="1" customWidth="1"/>
    <col min="15114" max="15114" width="12" style="1181" bestFit="1" customWidth="1"/>
    <col min="15115" max="15115" width="14.28515625" style="1181" bestFit="1" customWidth="1"/>
    <col min="15116" max="15116" width="13.5703125" style="1181" bestFit="1" customWidth="1"/>
    <col min="15117" max="15117" width="13.85546875" style="1181" bestFit="1" customWidth="1"/>
    <col min="15118" max="15360" width="9.140625" style="1181"/>
    <col min="15361" max="15361" width="4.42578125" style="1181" customWidth="1"/>
    <col min="15362" max="15362" width="46.85546875" style="1181" customWidth="1"/>
    <col min="15363" max="15363" width="11.28515625" style="1181" bestFit="1" customWidth="1"/>
    <col min="15364" max="15364" width="11.42578125" style="1181" bestFit="1" customWidth="1"/>
    <col min="15365" max="15365" width="11.85546875" style="1181" customWidth="1"/>
    <col min="15366" max="15366" width="10" style="1181" customWidth="1"/>
    <col min="15367" max="15367" width="11.140625" style="1181" customWidth="1"/>
    <col min="15368" max="15368" width="10.28515625" style="1181" bestFit="1" customWidth="1"/>
    <col min="15369" max="15369" width="10.140625" style="1181" bestFit="1" customWidth="1"/>
    <col min="15370" max="15370" width="12" style="1181" bestFit="1" customWidth="1"/>
    <col min="15371" max="15371" width="14.28515625" style="1181" bestFit="1" customWidth="1"/>
    <col min="15372" max="15372" width="13.5703125" style="1181" bestFit="1" customWidth="1"/>
    <col min="15373" max="15373" width="13.85546875" style="1181" bestFit="1" customWidth="1"/>
    <col min="15374" max="15616" width="9.140625" style="1181"/>
    <col min="15617" max="15617" width="4.42578125" style="1181" customWidth="1"/>
    <col min="15618" max="15618" width="46.85546875" style="1181" customWidth="1"/>
    <col min="15619" max="15619" width="11.28515625" style="1181" bestFit="1" customWidth="1"/>
    <col min="15620" max="15620" width="11.42578125" style="1181" bestFit="1" customWidth="1"/>
    <col min="15621" max="15621" width="11.85546875" style="1181" customWidth="1"/>
    <col min="15622" max="15622" width="10" style="1181" customWidth="1"/>
    <col min="15623" max="15623" width="11.140625" style="1181" customWidth="1"/>
    <col min="15624" max="15624" width="10.28515625" style="1181" bestFit="1" customWidth="1"/>
    <col min="15625" max="15625" width="10.140625" style="1181" bestFit="1" customWidth="1"/>
    <col min="15626" max="15626" width="12" style="1181" bestFit="1" customWidth="1"/>
    <col min="15627" max="15627" width="14.28515625" style="1181" bestFit="1" customWidth="1"/>
    <col min="15628" max="15628" width="13.5703125" style="1181" bestFit="1" customWidth="1"/>
    <col min="15629" max="15629" width="13.85546875" style="1181" bestFit="1" customWidth="1"/>
    <col min="15630" max="15872" width="9.140625" style="1181"/>
    <col min="15873" max="15873" width="4.42578125" style="1181" customWidth="1"/>
    <col min="15874" max="15874" width="46.85546875" style="1181" customWidth="1"/>
    <col min="15875" max="15875" width="11.28515625" style="1181" bestFit="1" customWidth="1"/>
    <col min="15876" max="15876" width="11.42578125" style="1181" bestFit="1" customWidth="1"/>
    <col min="15877" max="15877" width="11.85546875" style="1181" customWidth="1"/>
    <col min="15878" max="15878" width="10" style="1181" customWidth="1"/>
    <col min="15879" max="15879" width="11.140625" style="1181" customWidth="1"/>
    <col min="15880" max="15880" width="10.28515625" style="1181" bestFit="1" customWidth="1"/>
    <col min="15881" max="15881" width="10.140625" style="1181" bestFit="1" customWidth="1"/>
    <col min="15882" max="15882" width="12" style="1181" bestFit="1" customWidth="1"/>
    <col min="15883" max="15883" width="14.28515625" style="1181" bestFit="1" customWidth="1"/>
    <col min="15884" max="15884" width="13.5703125" style="1181" bestFit="1" customWidth="1"/>
    <col min="15885" max="15885" width="13.85546875" style="1181" bestFit="1" customWidth="1"/>
    <col min="15886" max="16128" width="9.140625" style="1181"/>
    <col min="16129" max="16129" width="4.42578125" style="1181" customWidth="1"/>
    <col min="16130" max="16130" width="46.85546875" style="1181" customWidth="1"/>
    <col min="16131" max="16131" width="11.28515625" style="1181" bestFit="1" customWidth="1"/>
    <col min="16132" max="16132" width="11.42578125" style="1181" bestFit="1" customWidth="1"/>
    <col min="16133" max="16133" width="11.85546875" style="1181" customWidth="1"/>
    <col min="16134" max="16134" width="10" style="1181" customWidth="1"/>
    <col min="16135" max="16135" width="11.140625" style="1181" customWidth="1"/>
    <col min="16136" max="16136" width="10.28515625" style="1181" bestFit="1" customWidth="1"/>
    <col min="16137" max="16137" width="10.140625" style="1181" bestFit="1" customWidth="1"/>
    <col min="16138" max="16138" width="12" style="1181" bestFit="1" customWidth="1"/>
    <col min="16139" max="16139" width="14.28515625" style="1181" bestFit="1" customWidth="1"/>
    <col min="16140" max="16140" width="13.5703125" style="1181" bestFit="1" customWidth="1"/>
    <col min="16141" max="16141" width="13.85546875" style="1181" bestFit="1" customWidth="1"/>
    <col min="16142" max="16384" width="9.140625" style="1181"/>
  </cols>
  <sheetData>
    <row r="1" spans="1:13" s="1340" customFormat="1" ht="15">
      <c r="H1" s="1341"/>
      <c r="I1" s="1342"/>
      <c r="K1" s="1341"/>
    </row>
    <row r="2" spans="1:13" ht="51" customHeight="1">
      <c r="A2" s="1901" t="s">
        <v>157</v>
      </c>
      <c r="B2" s="1905" t="s">
        <v>1153</v>
      </c>
      <c r="C2" s="1903" t="s">
        <v>1122</v>
      </c>
      <c r="D2" s="1903" t="s">
        <v>1156</v>
      </c>
      <c r="E2" s="1894" t="s">
        <v>1157</v>
      </c>
      <c r="F2" s="1894" t="s">
        <v>1124</v>
      </c>
      <c r="G2" s="1894" t="s">
        <v>1125</v>
      </c>
      <c r="H2" s="1895" t="s">
        <v>1126</v>
      </c>
      <c r="I2" s="1897" t="s">
        <v>1127</v>
      </c>
      <c r="J2" s="1899" t="s">
        <v>1160</v>
      </c>
      <c r="K2" s="1890" t="s">
        <v>1129</v>
      </c>
      <c r="L2" s="1890" t="s">
        <v>909</v>
      </c>
      <c r="M2" s="1890" t="s">
        <v>1130</v>
      </c>
    </row>
    <row r="3" spans="1:13" ht="130.5" customHeight="1">
      <c r="A3" s="1902"/>
      <c r="B3" s="1901"/>
      <c r="C3" s="1904"/>
      <c r="D3" s="1904"/>
      <c r="E3" s="1894"/>
      <c r="F3" s="1894"/>
      <c r="G3" s="1894"/>
      <c r="H3" s="1896"/>
      <c r="I3" s="1898"/>
      <c r="J3" s="1900"/>
      <c r="K3" s="1891"/>
      <c r="L3" s="1891"/>
      <c r="M3" s="1891"/>
    </row>
    <row r="4" spans="1:13" ht="15">
      <c r="A4" s="1343"/>
      <c r="B4" s="1344"/>
      <c r="C4" s="1344">
        <v>1</v>
      </c>
      <c r="D4" s="1344">
        <f>C4+1</f>
        <v>2</v>
      </c>
      <c r="E4" s="1344">
        <f t="shared" ref="E4:M4" si="0">D4+1</f>
        <v>3</v>
      </c>
      <c r="F4" s="1344">
        <f t="shared" si="0"/>
        <v>4</v>
      </c>
      <c r="G4" s="1344">
        <f t="shared" si="0"/>
        <v>5</v>
      </c>
      <c r="H4" s="1344">
        <f t="shared" si="0"/>
        <v>6</v>
      </c>
      <c r="I4" s="1344">
        <f t="shared" si="0"/>
        <v>7</v>
      </c>
      <c r="J4" s="1344">
        <f t="shared" si="0"/>
        <v>8</v>
      </c>
      <c r="K4" s="1344">
        <f t="shared" si="0"/>
        <v>9</v>
      </c>
      <c r="L4" s="1344">
        <f t="shared" si="0"/>
        <v>10</v>
      </c>
      <c r="M4" s="1344">
        <f t="shared" si="0"/>
        <v>11</v>
      </c>
    </row>
    <row r="5" spans="1:13" s="1350" customFormat="1" ht="43.5">
      <c r="A5" s="1343"/>
      <c r="B5" s="1344"/>
      <c r="C5" s="1346" t="s">
        <v>1132</v>
      </c>
      <c r="D5" s="1346" t="s">
        <v>1132</v>
      </c>
      <c r="E5" s="1346" t="s">
        <v>1133</v>
      </c>
      <c r="F5" s="1345" t="s">
        <v>1149</v>
      </c>
      <c r="G5" s="1345" t="s">
        <v>1150</v>
      </c>
      <c r="H5" s="1347" t="s">
        <v>1136</v>
      </c>
      <c r="I5" s="1348" t="s">
        <v>1137</v>
      </c>
      <c r="J5" s="1347" t="s">
        <v>1138</v>
      </c>
      <c r="K5" s="1349" t="s">
        <v>1139</v>
      </c>
      <c r="L5" s="1345" t="s">
        <v>1140</v>
      </c>
      <c r="M5" s="1345" t="s">
        <v>1141</v>
      </c>
    </row>
    <row r="6" spans="1:13" ht="14.25">
      <c r="A6" s="1186">
        <v>1</v>
      </c>
      <c r="B6" s="1186" t="s">
        <v>911</v>
      </c>
      <c r="C6" s="1351">
        <f>[14]Sheet1!$K5</f>
        <v>10</v>
      </c>
      <c r="D6" s="1351">
        <f>'[16]Final 2-1-12 SIS'!$S11</f>
        <v>9</v>
      </c>
      <c r="E6" s="1352">
        <f>D6-C6</f>
        <v>-1</v>
      </c>
      <c r="F6" s="1352">
        <f>IF(E6&gt;0,E6,0)</f>
        <v>0</v>
      </c>
      <c r="G6" s="1352">
        <f>IF(E6&lt;0,E6,0)</f>
        <v>-1</v>
      </c>
      <c r="H6" s="1353">
        <f>'Table 5C3 - LA Connections  '!D5</f>
        <v>4209.3</v>
      </c>
      <c r="I6" s="1353">
        <f>'Table 5C3 - LA Connections  '!F5</f>
        <v>699.73200000000008</v>
      </c>
      <c r="J6" s="1353">
        <f>(I6+H6)*0.5</f>
        <v>2454.5160000000001</v>
      </c>
      <c r="K6" s="1354">
        <f>E6*J6</f>
        <v>-2454.5160000000001</v>
      </c>
      <c r="L6" s="1353">
        <f>IF(K6&gt;0,K6,0)</f>
        <v>0</v>
      </c>
      <c r="M6" s="1353">
        <f>IF(K6&lt;0,K6,0)</f>
        <v>-2454.5160000000001</v>
      </c>
    </row>
    <row r="7" spans="1:13" ht="14.25">
      <c r="A7" s="1186">
        <v>2</v>
      </c>
      <c r="B7" s="1186" t="s">
        <v>912</v>
      </c>
      <c r="C7" s="1351">
        <f>[14]Sheet1!$K6</f>
        <v>2</v>
      </c>
      <c r="D7" s="1351">
        <f>'[16]Final 2-1-12 SIS'!$S12</f>
        <v>1</v>
      </c>
      <c r="E7" s="1352">
        <f t="shared" ref="E7:E70" si="1">D7-C7</f>
        <v>-1</v>
      </c>
      <c r="F7" s="1352">
        <f t="shared" ref="F7:F70" si="2">IF(E7&gt;0,E7,0)</f>
        <v>0</v>
      </c>
      <c r="G7" s="1352">
        <f t="shared" ref="G7:G70" si="3">IF(E7&lt;0,E7,0)</f>
        <v>-1</v>
      </c>
      <c r="H7" s="1353">
        <f>'Table 5C3 - LA Connections  '!D6</f>
        <v>5444.7660898101512</v>
      </c>
      <c r="I7" s="1353">
        <f>'Table 5C3 - LA Connections  '!F6</f>
        <v>758.08800000000008</v>
      </c>
      <c r="J7" s="1353">
        <f t="shared" ref="J7:J70" si="4">(I7+H7)*0.5</f>
        <v>3101.4270449050755</v>
      </c>
      <c r="K7" s="1354">
        <f t="shared" ref="K7:K70" si="5">E7*J7</f>
        <v>-3101.4270449050755</v>
      </c>
      <c r="L7" s="1353">
        <f t="shared" ref="L7:L70" si="6">IF(K7&gt;0,K7,0)</f>
        <v>0</v>
      </c>
      <c r="M7" s="1353">
        <f t="shared" ref="M7:M70" si="7">IF(K7&lt;0,K7,0)</f>
        <v>-3101.4270449050755</v>
      </c>
    </row>
    <row r="8" spans="1:13" ht="14.25">
      <c r="A8" s="1186">
        <v>3</v>
      </c>
      <c r="B8" s="1186" t="s">
        <v>913</v>
      </c>
      <c r="C8" s="1355">
        <f>[14]Sheet1!$K7</f>
        <v>12</v>
      </c>
      <c r="D8" s="1355">
        <f>'[16]Final 2-1-12 SIS'!$S13</f>
        <v>11</v>
      </c>
      <c r="E8" s="1352">
        <f t="shared" si="1"/>
        <v>-1</v>
      </c>
      <c r="F8" s="1352">
        <f t="shared" si="2"/>
        <v>0</v>
      </c>
      <c r="G8" s="1352">
        <f t="shared" si="3"/>
        <v>-1</v>
      </c>
      <c r="H8" s="1353">
        <f>'Table 5C3 - LA Connections  '!D7</f>
        <v>3712.0903724597265</v>
      </c>
      <c r="I8" s="1356">
        <f>'Table 5C3 - LA Connections  '!F7</f>
        <v>537.15600000000006</v>
      </c>
      <c r="J8" s="1356">
        <f t="shared" si="4"/>
        <v>2124.6231862298632</v>
      </c>
      <c r="K8" s="1354">
        <f t="shared" si="5"/>
        <v>-2124.6231862298632</v>
      </c>
      <c r="L8" s="1356">
        <f t="shared" si="6"/>
        <v>0</v>
      </c>
      <c r="M8" s="1356">
        <f t="shared" si="7"/>
        <v>-2124.6231862298632</v>
      </c>
    </row>
    <row r="9" spans="1:13" ht="14.25">
      <c r="A9" s="1186">
        <v>4</v>
      </c>
      <c r="B9" s="1186" t="s">
        <v>914</v>
      </c>
      <c r="C9" s="1355">
        <f>[14]Sheet1!$K8</f>
        <v>4</v>
      </c>
      <c r="D9" s="1355">
        <f>'[16]Final 2-1-12 SIS'!$S14</f>
        <v>3</v>
      </c>
      <c r="E9" s="1352">
        <f t="shared" si="1"/>
        <v>-1</v>
      </c>
      <c r="F9" s="1352">
        <f t="shared" si="2"/>
        <v>0</v>
      </c>
      <c r="G9" s="1352">
        <f t="shared" si="3"/>
        <v>-1</v>
      </c>
      <c r="H9" s="1353">
        <f>'Table 5C3 - LA Connections  '!D8</f>
        <v>5437.7563294083247</v>
      </c>
      <c r="I9" s="1356">
        <f>'Table 5C3 - LA Connections  '!F8</f>
        <v>527.18399999999997</v>
      </c>
      <c r="J9" s="1356">
        <f t="shared" si="4"/>
        <v>2982.4701647041625</v>
      </c>
      <c r="K9" s="1354">
        <f t="shared" si="5"/>
        <v>-2982.4701647041625</v>
      </c>
      <c r="L9" s="1356">
        <f t="shared" si="6"/>
        <v>0</v>
      </c>
      <c r="M9" s="1356">
        <f t="shared" si="7"/>
        <v>-2982.4701647041625</v>
      </c>
    </row>
    <row r="10" spans="1:13" ht="14.25">
      <c r="A10" s="1192">
        <v>5</v>
      </c>
      <c r="B10" s="1192" t="s">
        <v>915</v>
      </c>
      <c r="C10" s="1358">
        <f>[14]Sheet1!$K9</f>
        <v>5</v>
      </c>
      <c r="D10" s="1358">
        <f>'[16]Final 2-1-12 SIS'!$S15</f>
        <v>4</v>
      </c>
      <c r="E10" s="1359">
        <f t="shared" si="1"/>
        <v>-1</v>
      </c>
      <c r="F10" s="1359">
        <f t="shared" si="2"/>
        <v>0</v>
      </c>
      <c r="G10" s="1359">
        <f t="shared" si="3"/>
        <v>-1</v>
      </c>
      <c r="H10" s="1360">
        <f>'Table 5C3 - LA Connections  '!D9</f>
        <v>4392.6597520963815</v>
      </c>
      <c r="I10" s="1361">
        <f>'Table 5C3 - LA Connections  '!F9</f>
        <v>500.31899999999996</v>
      </c>
      <c r="J10" s="1361">
        <f t="shared" si="4"/>
        <v>2446.4893760481909</v>
      </c>
      <c r="K10" s="1362">
        <f t="shared" si="5"/>
        <v>-2446.4893760481909</v>
      </c>
      <c r="L10" s="1361">
        <f t="shared" si="6"/>
        <v>0</v>
      </c>
      <c r="M10" s="1361">
        <f t="shared" si="7"/>
        <v>-2446.4893760481909</v>
      </c>
    </row>
    <row r="11" spans="1:13" ht="14.25">
      <c r="A11" s="1186">
        <v>6</v>
      </c>
      <c r="B11" s="1186" t="s">
        <v>916</v>
      </c>
      <c r="C11" s="1351">
        <f>[14]Sheet1!$K10</f>
        <v>3</v>
      </c>
      <c r="D11" s="1351">
        <f>'[16]Final 2-1-12 SIS'!$S16</f>
        <v>5</v>
      </c>
      <c r="E11" s="1352">
        <f t="shared" si="1"/>
        <v>2</v>
      </c>
      <c r="F11" s="1352">
        <f t="shared" si="2"/>
        <v>2</v>
      </c>
      <c r="G11" s="1352">
        <f t="shared" si="3"/>
        <v>0</v>
      </c>
      <c r="H11" s="1353">
        <f>'Table 5C3 - LA Connections  '!D10</f>
        <v>5072.3139727898033</v>
      </c>
      <c r="I11" s="1353">
        <f>'Table 5C3 - LA Connections  '!F10</f>
        <v>490.9319999999999</v>
      </c>
      <c r="J11" s="1353">
        <f t="shared" si="4"/>
        <v>2781.6229863949015</v>
      </c>
      <c r="K11" s="1354">
        <f t="shared" si="5"/>
        <v>5563.2459727898031</v>
      </c>
      <c r="L11" s="1353">
        <f t="shared" si="6"/>
        <v>5563.2459727898031</v>
      </c>
      <c r="M11" s="1353">
        <f t="shared" si="7"/>
        <v>0</v>
      </c>
    </row>
    <row r="12" spans="1:13" ht="14.25">
      <c r="A12" s="1186">
        <v>7</v>
      </c>
      <c r="B12" s="1186" t="s">
        <v>917</v>
      </c>
      <c r="C12" s="1351">
        <f>[14]Sheet1!$K11</f>
        <v>5</v>
      </c>
      <c r="D12" s="1351">
        <f>'[16]Final 2-1-12 SIS'!$S17</f>
        <v>6</v>
      </c>
      <c r="E12" s="1352">
        <f t="shared" si="1"/>
        <v>1</v>
      </c>
      <c r="F12" s="1352">
        <f t="shared" si="2"/>
        <v>1</v>
      </c>
      <c r="G12" s="1352">
        <f t="shared" si="3"/>
        <v>0</v>
      </c>
      <c r="H12" s="1353">
        <f>'Table 5C3 - LA Connections  '!D11</f>
        <v>1385.9737278509767</v>
      </c>
      <c r="I12" s="1353">
        <f>'Table 5C3 - LA Connections  '!F11</f>
        <v>681.22799999999984</v>
      </c>
      <c r="J12" s="1353">
        <f t="shared" si="4"/>
        <v>1033.6008639254883</v>
      </c>
      <c r="K12" s="1354">
        <f t="shared" si="5"/>
        <v>1033.6008639254883</v>
      </c>
      <c r="L12" s="1353">
        <f t="shared" si="6"/>
        <v>1033.6008639254883</v>
      </c>
      <c r="M12" s="1353">
        <f t="shared" si="7"/>
        <v>0</v>
      </c>
    </row>
    <row r="13" spans="1:13" ht="14.25">
      <c r="A13" s="1186">
        <v>8</v>
      </c>
      <c r="B13" s="1186" t="s">
        <v>918</v>
      </c>
      <c r="C13" s="1355">
        <f>[14]Sheet1!$K12</f>
        <v>16</v>
      </c>
      <c r="D13" s="1355">
        <f>'[16]Final 2-1-12 SIS'!$S18</f>
        <v>22</v>
      </c>
      <c r="E13" s="1352">
        <f t="shared" si="1"/>
        <v>6</v>
      </c>
      <c r="F13" s="1352">
        <f t="shared" si="2"/>
        <v>6</v>
      </c>
      <c r="G13" s="1352">
        <f t="shared" si="3"/>
        <v>0</v>
      </c>
      <c r="H13" s="1353">
        <f>'Table 5C3 - LA Connections  '!D12</f>
        <v>3601.2056558252466</v>
      </c>
      <c r="I13" s="1356">
        <f>'Table 5C3 - LA Connections  '!F12</f>
        <v>653.18399999999997</v>
      </c>
      <c r="J13" s="1356">
        <f t="shared" si="4"/>
        <v>2127.1948279126232</v>
      </c>
      <c r="K13" s="1354">
        <f t="shared" si="5"/>
        <v>12763.16896747574</v>
      </c>
      <c r="L13" s="1356">
        <f t="shared" si="6"/>
        <v>12763.16896747574</v>
      </c>
      <c r="M13" s="1356">
        <f t="shared" si="7"/>
        <v>0</v>
      </c>
    </row>
    <row r="14" spans="1:13" ht="14.25">
      <c r="A14" s="1186">
        <v>9</v>
      </c>
      <c r="B14" s="1186" t="s">
        <v>919</v>
      </c>
      <c r="C14" s="1355">
        <f>[14]Sheet1!$K13</f>
        <v>37</v>
      </c>
      <c r="D14" s="1355">
        <f>'[16]Final 2-1-12 SIS'!$S19</f>
        <v>37</v>
      </c>
      <c r="E14" s="1352">
        <f t="shared" si="1"/>
        <v>0</v>
      </c>
      <c r="F14" s="1352">
        <f t="shared" si="2"/>
        <v>0</v>
      </c>
      <c r="G14" s="1352">
        <f t="shared" si="3"/>
        <v>0</v>
      </c>
      <c r="H14" s="1356">
        <f>'Table 5C3 - LA Connections  '!D13</f>
        <v>3946.4201542979081</v>
      </c>
      <c r="I14" s="1356">
        <f>'Table 5C3 - LA Connections  '!F13</f>
        <v>670.28399999999999</v>
      </c>
      <c r="J14" s="1356">
        <f t="shared" si="4"/>
        <v>2308.3520771489539</v>
      </c>
      <c r="K14" s="1354">
        <f t="shared" si="5"/>
        <v>0</v>
      </c>
      <c r="L14" s="1365">
        <f t="shared" si="6"/>
        <v>0</v>
      </c>
      <c r="M14" s="1365">
        <f t="shared" si="7"/>
        <v>0</v>
      </c>
    </row>
    <row r="15" spans="1:13" ht="14.25">
      <c r="A15" s="1192">
        <v>10</v>
      </c>
      <c r="B15" s="1192" t="s">
        <v>686</v>
      </c>
      <c r="C15" s="1358">
        <f>[14]Sheet1!$K14</f>
        <v>28</v>
      </c>
      <c r="D15" s="1358">
        <f>'[16]Final 2-1-12 SIS'!$S20</f>
        <v>26</v>
      </c>
      <c r="E15" s="1359">
        <f t="shared" si="1"/>
        <v>-2</v>
      </c>
      <c r="F15" s="1359">
        <f t="shared" si="2"/>
        <v>0</v>
      </c>
      <c r="G15" s="1359">
        <f t="shared" si="3"/>
        <v>-2</v>
      </c>
      <c r="H15" s="1361">
        <f>'Table 5C3 - LA Connections  '!D14</f>
        <v>3880.929874751208</v>
      </c>
      <c r="I15" s="1361">
        <f>'Table 5C3 - LA Connections  '!F14</f>
        <v>547.2360000000001</v>
      </c>
      <c r="J15" s="1361">
        <f t="shared" si="4"/>
        <v>2214.0829373756042</v>
      </c>
      <c r="K15" s="1362">
        <f t="shared" si="5"/>
        <v>-4428.1658747512083</v>
      </c>
      <c r="L15" s="1366">
        <f t="shared" si="6"/>
        <v>0</v>
      </c>
      <c r="M15" s="1366">
        <f t="shared" si="7"/>
        <v>-4428.1658747512083</v>
      </c>
    </row>
    <row r="16" spans="1:13" ht="14.25">
      <c r="A16" s="1186">
        <v>11</v>
      </c>
      <c r="B16" s="1186" t="s">
        <v>920</v>
      </c>
      <c r="C16" s="1351">
        <f>[14]Sheet1!$K15</f>
        <v>0</v>
      </c>
      <c r="D16" s="1351">
        <f>'[16]Final 2-1-12 SIS'!$S21</f>
        <v>0</v>
      </c>
      <c r="E16" s="1352">
        <f t="shared" si="1"/>
        <v>0</v>
      </c>
      <c r="F16" s="1352">
        <f t="shared" si="2"/>
        <v>0</v>
      </c>
      <c r="G16" s="1352">
        <f t="shared" si="3"/>
        <v>0</v>
      </c>
      <c r="H16" s="1353">
        <f>'Table 5C3 - LA Connections  '!D15</f>
        <v>6000.6277483637386</v>
      </c>
      <c r="I16" s="1353">
        <f>'Table 5C3 - LA Connections  '!F15</f>
        <v>635.89499999999998</v>
      </c>
      <c r="J16" s="1353">
        <f t="shared" si="4"/>
        <v>3318.2613741818695</v>
      </c>
      <c r="K16" s="1354">
        <f t="shared" si="5"/>
        <v>0</v>
      </c>
      <c r="L16" s="1365">
        <f t="shared" si="6"/>
        <v>0</v>
      </c>
      <c r="M16" s="1365">
        <f t="shared" si="7"/>
        <v>0</v>
      </c>
    </row>
    <row r="17" spans="1:13" ht="14.25">
      <c r="A17" s="1186">
        <v>12</v>
      </c>
      <c r="B17" s="1186" t="s">
        <v>921</v>
      </c>
      <c r="C17" s="1351">
        <f>[14]Sheet1!$K16</f>
        <v>2</v>
      </c>
      <c r="D17" s="1351">
        <f>'[16]Final 2-1-12 SIS'!$S22</f>
        <v>0</v>
      </c>
      <c r="E17" s="1352">
        <f t="shared" si="1"/>
        <v>-2</v>
      </c>
      <c r="F17" s="1352">
        <f t="shared" si="2"/>
        <v>0</v>
      </c>
      <c r="G17" s="1352">
        <f t="shared" si="3"/>
        <v>-2</v>
      </c>
      <c r="H17" s="1353">
        <f>'Table 5C3 - LA Connections  '!D16</f>
        <v>1463.8737701612904</v>
      </c>
      <c r="I17" s="1353">
        <f>'Table 5C3 - LA Connections  '!F16</f>
        <v>956.97899999999993</v>
      </c>
      <c r="J17" s="1353">
        <f t="shared" si="4"/>
        <v>1210.4263850806451</v>
      </c>
      <c r="K17" s="1354">
        <f t="shared" si="5"/>
        <v>-2420.8527701612902</v>
      </c>
      <c r="L17" s="1365">
        <f t="shared" si="6"/>
        <v>0</v>
      </c>
      <c r="M17" s="1365">
        <f t="shared" si="7"/>
        <v>-2420.8527701612902</v>
      </c>
    </row>
    <row r="18" spans="1:13" ht="14.25">
      <c r="A18" s="1186">
        <v>13</v>
      </c>
      <c r="B18" s="1186" t="s">
        <v>922</v>
      </c>
      <c r="C18" s="1355">
        <f>[14]Sheet1!$K17</f>
        <v>2</v>
      </c>
      <c r="D18" s="1355">
        <f>'[16]Final 2-1-12 SIS'!$S23</f>
        <v>6</v>
      </c>
      <c r="E18" s="1352">
        <f t="shared" si="1"/>
        <v>4</v>
      </c>
      <c r="F18" s="1352">
        <f t="shared" si="2"/>
        <v>4</v>
      </c>
      <c r="G18" s="1352">
        <f t="shared" si="3"/>
        <v>0</v>
      </c>
      <c r="H18" s="1356">
        <f>'Table 5C3 - LA Connections  '!D17</f>
        <v>5378.4402697520791</v>
      </c>
      <c r="I18" s="1356">
        <f>'Table 5C3 - LA Connections  '!F17</f>
        <v>674.48700000000008</v>
      </c>
      <c r="J18" s="1356">
        <f t="shared" si="4"/>
        <v>3026.4636348760396</v>
      </c>
      <c r="K18" s="1354">
        <f t="shared" si="5"/>
        <v>12105.854539504158</v>
      </c>
      <c r="L18" s="1365">
        <f t="shared" si="6"/>
        <v>12105.854539504158</v>
      </c>
      <c r="M18" s="1365">
        <f t="shared" si="7"/>
        <v>0</v>
      </c>
    </row>
    <row r="19" spans="1:13" ht="14.25">
      <c r="A19" s="1186">
        <v>14</v>
      </c>
      <c r="B19" s="1186" t="s">
        <v>923</v>
      </c>
      <c r="C19" s="1355">
        <f>[14]Sheet1!$K18</f>
        <v>7</v>
      </c>
      <c r="D19" s="1355">
        <f>'[16]Final 2-1-12 SIS'!$S24</f>
        <v>7</v>
      </c>
      <c r="E19" s="1352">
        <f t="shared" si="1"/>
        <v>0</v>
      </c>
      <c r="F19" s="1352">
        <f t="shared" si="2"/>
        <v>0</v>
      </c>
      <c r="G19" s="1352">
        <f t="shared" si="3"/>
        <v>0</v>
      </c>
      <c r="H19" s="1356">
        <f>'Table 5C3 - LA Connections  '!D18</f>
        <v>5174.0803150666798</v>
      </c>
      <c r="I19" s="1356">
        <f>'Table 5C3 - LA Connections  '!F18</f>
        <v>728.98199999999997</v>
      </c>
      <c r="J19" s="1356">
        <f t="shared" si="4"/>
        <v>2951.5311575333399</v>
      </c>
      <c r="K19" s="1354">
        <f t="shared" si="5"/>
        <v>0</v>
      </c>
      <c r="L19" s="1365">
        <f t="shared" si="6"/>
        <v>0</v>
      </c>
      <c r="M19" s="1365">
        <f t="shared" si="7"/>
        <v>0</v>
      </c>
    </row>
    <row r="20" spans="1:13" ht="14.25">
      <c r="A20" s="1192">
        <v>15</v>
      </c>
      <c r="B20" s="1192" t="s">
        <v>924</v>
      </c>
      <c r="C20" s="1358">
        <f>[14]Sheet1!$K19</f>
        <v>1</v>
      </c>
      <c r="D20" s="1358">
        <f>'[16]Final 2-1-12 SIS'!$S25</f>
        <v>1</v>
      </c>
      <c r="E20" s="1359">
        <f t="shared" si="1"/>
        <v>0</v>
      </c>
      <c r="F20" s="1359">
        <f t="shared" si="2"/>
        <v>0</v>
      </c>
      <c r="G20" s="1359">
        <f t="shared" si="3"/>
        <v>0</v>
      </c>
      <c r="H20" s="1361">
        <f>'Table 5C3 - LA Connections  '!D19</f>
        <v>4858.7192769100766</v>
      </c>
      <c r="I20" s="1361">
        <f>'Table 5C3 - LA Connections  '!F19</f>
        <v>498.41999999999996</v>
      </c>
      <c r="J20" s="1361">
        <f t="shared" si="4"/>
        <v>2678.5696384550383</v>
      </c>
      <c r="K20" s="1362">
        <f t="shared" si="5"/>
        <v>0</v>
      </c>
      <c r="L20" s="1366">
        <f t="shared" si="6"/>
        <v>0</v>
      </c>
      <c r="M20" s="1366">
        <f t="shared" si="7"/>
        <v>0</v>
      </c>
    </row>
    <row r="21" spans="1:13" ht="14.25">
      <c r="A21" s="1186">
        <v>16</v>
      </c>
      <c r="B21" s="1186" t="s">
        <v>925</v>
      </c>
      <c r="C21" s="1351">
        <f>[14]Sheet1!$K20</f>
        <v>1</v>
      </c>
      <c r="D21" s="1351">
        <f>'[16]Final 2-1-12 SIS'!$S26</f>
        <v>2</v>
      </c>
      <c r="E21" s="1352">
        <f t="shared" si="1"/>
        <v>1</v>
      </c>
      <c r="F21" s="1352">
        <f t="shared" si="2"/>
        <v>1</v>
      </c>
      <c r="G21" s="1352">
        <f t="shared" si="3"/>
        <v>0</v>
      </c>
      <c r="H21" s="1353">
        <f>'Table 5C3 - LA Connections  '!D20</f>
        <v>1361.8761225144324</v>
      </c>
      <c r="I21" s="1353">
        <f>'Table 5C3 - LA Connections  '!F20</f>
        <v>618.05700000000002</v>
      </c>
      <c r="J21" s="1353">
        <f t="shared" si="4"/>
        <v>989.9665612572162</v>
      </c>
      <c r="K21" s="1354">
        <f t="shared" si="5"/>
        <v>989.9665612572162</v>
      </c>
      <c r="L21" s="1365">
        <f t="shared" si="6"/>
        <v>989.9665612572162</v>
      </c>
      <c r="M21" s="1365">
        <f t="shared" si="7"/>
        <v>0</v>
      </c>
    </row>
    <row r="22" spans="1:13" ht="14.25">
      <c r="A22" s="1186">
        <v>17</v>
      </c>
      <c r="B22" s="1186" t="s">
        <v>639</v>
      </c>
      <c r="C22" s="1355">
        <f>[14]Sheet1!$K21</f>
        <v>54</v>
      </c>
      <c r="D22" s="1355">
        <f>'[16]Final 2-1-12 SIS'!$S27</f>
        <v>44</v>
      </c>
      <c r="E22" s="1352">
        <f t="shared" si="1"/>
        <v>-10</v>
      </c>
      <c r="F22" s="1352">
        <f t="shared" si="2"/>
        <v>0</v>
      </c>
      <c r="G22" s="1352">
        <f t="shared" si="3"/>
        <v>-10</v>
      </c>
      <c r="H22" s="1356">
        <f>'Table 5C3 - LA Connections  '!D21</f>
        <v>2940.1220784729112</v>
      </c>
      <c r="I22" s="1356">
        <f>'Table 5C3 - LA Connections  '!F21</f>
        <v>721.32986175126121</v>
      </c>
      <c r="J22" s="1356">
        <f t="shared" si="4"/>
        <v>1830.7259701120861</v>
      </c>
      <c r="K22" s="1354">
        <f t="shared" si="5"/>
        <v>-18307.25970112086</v>
      </c>
      <c r="L22" s="1365">
        <f t="shared" si="6"/>
        <v>0</v>
      </c>
      <c r="M22" s="1365">
        <f t="shared" si="7"/>
        <v>-18307.25970112086</v>
      </c>
    </row>
    <row r="23" spans="1:13" ht="14.25">
      <c r="A23" s="1186">
        <v>18</v>
      </c>
      <c r="B23" s="1186" t="s">
        <v>926</v>
      </c>
      <c r="C23" s="1355">
        <f>[14]Sheet1!$K22</f>
        <v>0</v>
      </c>
      <c r="D23" s="1355">
        <f>'[16]Final 2-1-12 SIS'!$S28</f>
        <v>0</v>
      </c>
      <c r="E23" s="1352">
        <f t="shared" si="1"/>
        <v>0</v>
      </c>
      <c r="F23" s="1352">
        <f t="shared" si="2"/>
        <v>0</v>
      </c>
      <c r="G23" s="1352">
        <f t="shared" si="3"/>
        <v>0</v>
      </c>
      <c r="H23" s="1356">
        <f>'Table 5C3 - LA Connections  '!D22</f>
        <v>5192.4109119662935</v>
      </c>
      <c r="I23" s="1356">
        <f>'Table 5C3 - LA Connections  '!F22</f>
        <v>761.3549999999999</v>
      </c>
      <c r="J23" s="1356">
        <f t="shared" si="4"/>
        <v>2976.8829559831465</v>
      </c>
      <c r="K23" s="1354">
        <f t="shared" si="5"/>
        <v>0</v>
      </c>
      <c r="L23" s="1365">
        <f t="shared" si="6"/>
        <v>0</v>
      </c>
      <c r="M23" s="1365">
        <f t="shared" si="7"/>
        <v>0</v>
      </c>
    </row>
    <row r="24" spans="1:13" ht="14.25">
      <c r="A24" s="1186">
        <v>19</v>
      </c>
      <c r="B24" s="1186" t="s">
        <v>927</v>
      </c>
      <c r="C24" s="1355">
        <f>[14]Sheet1!$K23</f>
        <v>4</v>
      </c>
      <c r="D24" s="1355">
        <f>'[16]Final 2-1-12 SIS'!$S29</f>
        <v>1</v>
      </c>
      <c r="E24" s="1352">
        <f t="shared" si="1"/>
        <v>-3</v>
      </c>
      <c r="F24" s="1352">
        <f t="shared" si="2"/>
        <v>0</v>
      </c>
      <c r="G24" s="1352">
        <f t="shared" si="3"/>
        <v>-3</v>
      </c>
      <c r="H24" s="1356">
        <f>'Table 5C3 - LA Connections  '!D23</f>
        <v>4683.746652806537</v>
      </c>
      <c r="I24" s="1356">
        <f>'Table 5C3 - LA Connections  '!F23</f>
        <v>814.88699999999994</v>
      </c>
      <c r="J24" s="1356">
        <f t="shared" si="4"/>
        <v>2749.3168264032684</v>
      </c>
      <c r="K24" s="1354">
        <f t="shared" si="5"/>
        <v>-8247.9504792098051</v>
      </c>
      <c r="L24" s="1365">
        <f t="shared" si="6"/>
        <v>0</v>
      </c>
      <c r="M24" s="1365">
        <f t="shared" si="7"/>
        <v>-8247.9504792098051</v>
      </c>
    </row>
    <row r="25" spans="1:13" ht="14.25">
      <c r="A25" s="1192">
        <v>20</v>
      </c>
      <c r="B25" s="1192" t="s">
        <v>928</v>
      </c>
      <c r="C25" s="1358">
        <f>[14]Sheet1!$K24</f>
        <v>1</v>
      </c>
      <c r="D25" s="1358">
        <f>'[16]Final 2-1-12 SIS'!$S30</f>
        <v>1</v>
      </c>
      <c r="E25" s="1359">
        <f t="shared" si="1"/>
        <v>0</v>
      </c>
      <c r="F25" s="1359">
        <f t="shared" si="2"/>
        <v>0</v>
      </c>
      <c r="G25" s="1359">
        <f t="shared" si="3"/>
        <v>0</v>
      </c>
      <c r="H25" s="1361">
        <f>'Table 5C3 - LA Connections  '!D24</f>
        <v>4894.3760417440953</v>
      </c>
      <c r="I25" s="1361">
        <f>'Table 5C3 - LA Connections  '!F24</f>
        <v>527.553</v>
      </c>
      <c r="J25" s="1361">
        <f t="shared" si="4"/>
        <v>2710.9645208720476</v>
      </c>
      <c r="K25" s="1362">
        <f t="shared" si="5"/>
        <v>0</v>
      </c>
      <c r="L25" s="1366">
        <f t="shared" si="6"/>
        <v>0</v>
      </c>
      <c r="M25" s="1366">
        <f t="shared" si="7"/>
        <v>0</v>
      </c>
    </row>
    <row r="26" spans="1:13" ht="14.25">
      <c r="A26" s="1186">
        <v>21</v>
      </c>
      <c r="B26" s="1186" t="s">
        <v>929</v>
      </c>
      <c r="C26" s="1351">
        <f>[14]Sheet1!$K25</f>
        <v>7</v>
      </c>
      <c r="D26" s="1351">
        <f>'[16]Final 2-1-12 SIS'!$S31</f>
        <v>9</v>
      </c>
      <c r="E26" s="1352">
        <f t="shared" si="1"/>
        <v>2</v>
      </c>
      <c r="F26" s="1352">
        <f t="shared" si="2"/>
        <v>2</v>
      </c>
      <c r="G26" s="1352">
        <f t="shared" si="3"/>
        <v>0</v>
      </c>
      <c r="H26" s="1353">
        <f>'Table 5C3 - LA Connections  '!D25</f>
        <v>5057.195413422467</v>
      </c>
      <c r="I26" s="1353">
        <f>'Table 5C3 - LA Connections  '!F25</f>
        <v>549.31500000000005</v>
      </c>
      <c r="J26" s="1353">
        <f t="shared" si="4"/>
        <v>2803.2552067112338</v>
      </c>
      <c r="K26" s="1354">
        <f t="shared" si="5"/>
        <v>5606.5104134224675</v>
      </c>
      <c r="L26" s="1365">
        <f t="shared" si="6"/>
        <v>5606.5104134224675</v>
      </c>
      <c r="M26" s="1365">
        <f t="shared" si="7"/>
        <v>0</v>
      </c>
    </row>
    <row r="27" spans="1:13" ht="14.25">
      <c r="A27" s="1186">
        <v>22</v>
      </c>
      <c r="B27" s="1186" t="s">
        <v>930</v>
      </c>
      <c r="C27" s="1351">
        <f>[14]Sheet1!$K26</f>
        <v>10</v>
      </c>
      <c r="D27" s="1351">
        <f>'[16]Final 2-1-12 SIS'!$S32</f>
        <v>8</v>
      </c>
      <c r="E27" s="1352">
        <f t="shared" si="1"/>
        <v>-2</v>
      </c>
      <c r="F27" s="1352">
        <f t="shared" si="2"/>
        <v>0</v>
      </c>
      <c r="G27" s="1352">
        <f t="shared" si="3"/>
        <v>-2</v>
      </c>
      <c r="H27" s="1353">
        <f>'Table 5C3 - LA Connections  '!D26</f>
        <v>5567.6280255898364</v>
      </c>
      <c r="I27" s="1353">
        <f>'Table 5C3 - LA Connections  '!F26</f>
        <v>446.72400000000005</v>
      </c>
      <c r="J27" s="1353">
        <f t="shared" si="4"/>
        <v>3007.1760127949183</v>
      </c>
      <c r="K27" s="1354">
        <f t="shared" si="5"/>
        <v>-6014.3520255898366</v>
      </c>
      <c r="L27" s="1365">
        <f t="shared" si="6"/>
        <v>0</v>
      </c>
      <c r="M27" s="1365">
        <f t="shared" si="7"/>
        <v>-6014.3520255898366</v>
      </c>
    </row>
    <row r="28" spans="1:13" ht="14.25">
      <c r="A28" s="1186">
        <v>23</v>
      </c>
      <c r="B28" s="1186" t="s">
        <v>931</v>
      </c>
      <c r="C28" s="1355">
        <f>[14]Sheet1!$K27</f>
        <v>5</v>
      </c>
      <c r="D28" s="1355">
        <f>'[16]Final 2-1-12 SIS'!$S33</f>
        <v>10</v>
      </c>
      <c r="E28" s="1352">
        <f t="shared" si="1"/>
        <v>5</v>
      </c>
      <c r="F28" s="1352">
        <f t="shared" si="2"/>
        <v>5</v>
      </c>
      <c r="G28" s="1352">
        <f t="shared" si="3"/>
        <v>0</v>
      </c>
      <c r="H28" s="1356">
        <f>'Table 5C3 - LA Connections  '!D27</f>
        <v>4346.3787333311848</v>
      </c>
      <c r="I28" s="1356">
        <f>'Table 5C3 - LA Connections  '!F27</f>
        <v>619.72200000000009</v>
      </c>
      <c r="J28" s="1356">
        <f t="shared" si="4"/>
        <v>2483.0503666655923</v>
      </c>
      <c r="K28" s="1354">
        <f t="shared" si="5"/>
        <v>12415.251833327962</v>
      </c>
      <c r="L28" s="1365">
        <f t="shared" si="6"/>
        <v>12415.251833327962</v>
      </c>
      <c r="M28" s="1365">
        <f t="shared" si="7"/>
        <v>0</v>
      </c>
    </row>
    <row r="29" spans="1:13" ht="14.25">
      <c r="A29" s="1186">
        <v>24</v>
      </c>
      <c r="B29" s="1186" t="s">
        <v>932</v>
      </c>
      <c r="C29" s="1355">
        <f>[14]Sheet1!$K28</f>
        <v>1</v>
      </c>
      <c r="D29" s="1355">
        <f>'[16]Final 2-1-12 SIS'!$S34</f>
        <v>2</v>
      </c>
      <c r="E29" s="1352">
        <f t="shared" si="1"/>
        <v>1</v>
      </c>
      <c r="F29" s="1352">
        <f t="shared" si="2"/>
        <v>1</v>
      </c>
      <c r="G29" s="1352">
        <f t="shared" si="3"/>
        <v>0</v>
      </c>
      <c r="H29" s="1356">
        <f>'Table 5C3 - LA Connections  '!D28</f>
        <v>2245.1024261844818</v>
      </c>
      <c r="I29" s="1356">
        <f>'Table 5C3 - LA Connections  '!F28</f>
        <v>768.82499999999993</v>
      </c>
      <c r="J29" s="1356">
        <f t="shared" si="4"/>
        <v>1506.9637130922408</v>
      </c>
      <c r="K29" s="1354">
        <f t="shared" si="5"/>
        <v>1506.9637130922408</v>
      </c>
      <c r="L29" s="1365">
        <f t="shared" si="6"/>
        <v>1506.9637130922408</v>
      </c>
      <c r="M29" s="1365">
        <f t="shared" si="7"/>
        <v>0</v>
      </c>
    </row>
    <row r="30" spans="1:13" ht="14.25">
      <c r="A30" s="1192">
        <v>25</v>
      </c>
      <c r="B30" s="1192" t="s">
        <v>933</v>
      </c>
      <c r="C30" s="1358">
        <f>[14]Sheet1!$K29</f>
        <v>0</v>
      </c>
      <c r="D30" s="1358">
        <f>'[16]Final 2-1-12 SIS'!$S35</f>
        <v>0</v>
      </c>
      <c r="E30" s="1359">
        <f t="shared" si="1"/>
        <v>0</v>
      </c>
      <c r="F30" s="1359">
        <f t="shared" si="2"/>
        <v>0</v>
      </c>
      <c r="G30" s="1359">
        <f t="shared" si="3"/>
        <v>0</v>
      </c>
      <c r="H30" s="1361">
        <f>'Table 5C3 - LA Connections  '!D29</f>
        <v>3300.5809626555911</v>
      </c>
      <c r="I30" s="1361">
        <f>'Table 5C3 - LA Connections  '!F29</f>
        <v>588.35700000000008</v>
      </c>
      <c r="J30" s="1361">
        <f t="shared" si="4"/>
        <v>1944.4689813277955</v>
      </c>
      <c r="K30" s="1362">
        <f t="shared" si="5"/>
        <v>0</v>
      </c>
      <c r="L30" s="1366">
        <f t="shared" si="6"/>
        <v>0</v>
      </c>
      <c r="M30" s="1366">
        <f t="shared" si="7"/>
        <v>0</v>
      </c>
    </row>
    <row r="31" spans="1:13" ht="14.25">
      <c r="A31" s="1186">
        <v>26</v>
      </c>
      <c r="B31" s="1186" t="s">
        <v>663</v>
      </c>
      <c r="C31" s="1351">
        <f>[14]Sheet1!$K30</f>
        <v>41</v>
      </c>
      <c r="D31" s="1351">
        <f>'[16]Final 2-1-12 SIS'!$S36</f>
        <v>39</v>
      </c>
      <c r="E31" s="1352">
        <f t="shared" si="1"/>
        <v>-2</v>
      </c>
      <c r="F31" s="1352">
        <f t="shared" si="2"/>
        <v>0</v>
      </c>
      <c r="G31" s="1352">
        <f t="shared" si="3"/>
        <v>-2</v>
      </c>
      <c r="H31" s="1353">
        <f>'Table 5C3 - LA Connections  '!D30</f>
        <v>2835.3131108817151</v>
      </c>
      <c r="I31" s="1353">
        <f>'Table 5C3 - LA Connections  '!F30</f>
        <v>753.14700000000005</v>
      </c>
      <c r="J31" s="1353">
        <f t="shared" si="4"/>
        <v>1794.2300554408575</v>
      </c>
      <c r="K31" s="1354">
        <f t="shared" si="5"/>
        <v>-3588.4601108817151</v>
      </c>
      <c r="L31" s="1365">
        <f t="shared" si="6"/>
        <v>0</v>
      </c>
      <c r="M31" s="1365">
        <f t="shared" si="7"/>
        <v>-3588.4601108817151</v>
      </c>
    </row>
    <row r="32" spans="1:13" ht="14.25">
      <c r="A32" s="1186">
        <v>27</v>
      </c>
      <c r="B32" s="1186" t="s">
        <v>934</v>
      </c>
      <c r="C32" s="1351">
        <f>[14]Sheet1!$K31</f>
        <v>0</v>
      </c>
      <c r="D32" s="1351">
        <f>'[16]Final 2-1-12 SIS'!$S37</f>
        <v>3</v>
      </c>
      <c r="E32" s="1352">
        <f t="shared" si="1"/>
        <v>3</v>
      </c>
      <c r="F32" s="1352">
        <f t="shared" si="2"/>
        <v>3</v>
      </c>
      <c r="G32" s="1352">
        <f t="shared" si="3"/>
        <v>0</v>
      </c>
      <c r="H32" s="1353">
        <f>'Table 5C3 - LA Connections  '!D31</f>
        <v>5143.5016903089836</v>
      </c>
      <c r="I32" s="1353">
        <f>'Table 5C3 - LA Connections  '!F31</f>
        <v>623.75400000000002</v>
      </c>
      <c r="J32" s="1353">
        <f t="shared" si="4"/>
        <v>2883.6278451544918</v>
      </c>
      <c r="K32" s="1354">
        <f t="shared" si="5"/>
        <v>8650.8835354634757</v>
      </c>
      <c r="L32" s="1365">
        <f t="shared" si="6"/>
        <v>8650.8835354634757</v>
      </c>
      <c r="M32" s="1365">
        <f t="shared" si="7"/>
        <v>0</v>
      </c>
    </row>
    <row r="33" spans="1:13" ht="14.25">
      <c r="A33" s="1186">
        <v>28</v>
      </c>
      <c r="B33" s="1186" t="s">
        <v>935</v>
      </c>
      <c r="C33" s="1355">
        <f>[14]Sheet1!$K32</f>
        <v>22</v>
      </c>
      <c r="D33" s="1355">
        <f>'[16]Final 2-1-12 SIS'!$S38</f>
        <v>24</v>
      </c>
      <c r="E33" s="1352">
        <f t="shared" si="1"/>
        <v>2</v>
      </c>
      <c r="F33" s="1352">
        <f t="shared" si="2"/>
        <v>2</v>
      </c>
      <c r="G33" s="1352">
        <f t="shared" si="3"/>
        <v>0</v>
      </c>
      <c r="H33" s="1356">
        <f>'Table 5C3 - LA Connections  '!D32</f>
        <v>3030.6109760091736</v>
      </c>
      <c r="I33" s="1356">
        <f>'Table 5C3 - LA Connections  '!F32</f>
        <v>624.96</v>
      </c>
      <c r="J33" s="1356">
        <f t="shared" si="4"/>
        <v>1827.7854880045868</v>
      </c>
      <c r="K33" s="1354">
        <f t="shared" si="5"/>
        <v>3655.5709760091736</v>
      </c>
      <c r="L33" s="1365">
        <f t="shared" si="6"/>
        <v>3655.5709760091736</v>
      </c>
      <c r="M33" s="1365">
        <f t="shared" si="7"/>
        <v>0</v>
      </c>
    </row>
    <row r="34" spans="1:13" ht="14.25">
      <c r="A34" s="1186">
        <v>29</v>
      </c>
      <c r="B34" s="1186" t="s">
        <v>936</v>
      </c>
      <c r="C34" s="1355">
        <f>[14]Sheet1!$K33</f>
        <v>7</v>
      </c>
      <c r="D34" s="1355">
        <f>'[16]Final 2-1-12 SIS'!$S39</f>
        <v>5</v>
      </c>
      <c r="E34" s="1352">
        <f t="shared" si="1"/>
        <v>-2</v>
      </c>
      <c r="F34" s="1352">
        <f t="shared" si="2"/>
        <v>0</v>
      </c>
      <c r="G34" s="1352">
        <f t="shared" si="3"/>
        <v>-2</v>
      </c>
      <c r="H34" s="1356">
        <f>'Table 5C3 - LA Connections  '!D33</f>
        <v>3779.8345012024251</v>
      </c>
      <c r="I34" s="1356">
        <f>'Table 5C3 - LA Connections  '!F33</f>
        <v>679.45499999999993</v>
      </c>
      <c r="J34" s="1356">
        <f t="shared" si="4"/>
        <v>2229.6447506012128</v>
      </c>
      <c r="K34" s="1354">
        <f t="shared" si="5"/>
        <v>-4459.2895012024255</v>
      </c>
      <c r="L34" s="1365">
        <f t="shared" si="6"/>
        <v>0</v>
      </c>
      <c r="M34" s="1365">
        <f t="shared" si="7"/>
        <v>-4459.2895012024255</v>
      </c>
    </row>
    <row r="35" spans="1:13" ht="14.25">
      <c r="A35" s="1192">
        <v>30</v>
      </c>
      <c r="B35" s="1192" t="s">
        <v>937</v>
      </c>
      <c r="C35" s="1358">
        <f>[14]Sheet1!$K34</f>
        <v>3</v>
      </c>
      <c r="D35" s="1358">
        <f>'[16]Final 2-1-12 SIS'!$S40</f>
        <v>3</v>
      </c>
      <c r="E35" s="1359">
        <f t="shared" si="1"/>
        <v>0</v>
      </c>
      <c r="F35" s="1359">
        <f t="shared" si="2"/>
        <v>0</v>
      </c>
      <c r="G35" s="1359">
        <f t="shared" si="3"/>
        <v>0</v>
      </c>
      <c r="H35" s="1361">
        <f>'Table 5C3 - LA Connections  '!D34</f>
        <v>5203.3716856082956</v>
      </c>
      <c r="I35" s="1361">
        <f>'Table 5C3 - LA Connections  '!F34</f>
        <v>654.45299999999997</v>
      </c>
      <c r="J35" s="1361">
        <f t="shared" si="4"/>
        <v>2928.9123428041476</v>
      </c>
      <c r="K35" s="1362">
        <f t="shared" si="5"/>
        <v>0</v>
      </c>
      <c r="L35" s="1366">
        <f t="shared" si="6"/>
        <v>0</v>
      </c>
      <c r="M35" s="1366">
        <f t="shared" si="7"/>
        <v>0</v>
      </c>
    </row>
    <row r="36" spans="1:13" ht="14.25">
      <c r="A36" s="1186">
        <v>31</v>
      </c>
      <c r="B36" s="1186" t="s">
        <v>654</v>
      </c>
      <c r="C36" s="1351">
        <f>[14]Sheet1!$K35</f>
        <v>4</v>
      </c>
      <c r="D36" s="1351">
        <f>'[16]Final 2-1-12 SIS'!$S41</f>
        <v>1</v>
      </c>
      <c r="E36" s="1352">
        <f t="shared" si="1"/>
        <v>-3</v>
      </c>
      <c r="F36" s="1352">
        <f t="shared" si="2"/>
        <v>0</v>
      </c>
      <c r="G36" s="1352">
        <f t="shared" si="3"/>
        <v>-3</v>
      </c>
      <c r="H36" s="1353">
        <f>'Table 5C3 - LA Connections  '!D35</f>
        <v>3809.5955572598205</v>
      </c>
      <c r="I36" s="1353">
        <f>'Table 5C3 - LA Connections  '!F35</f>
        <v>558.74700000000007</v>
      </c>
      <c r="J36" s="1353">
        <f t="shared" si="4"/>
        <v>2184.1712786299104</v>
      </c>
      <c r="K36" s="1354">
        <f t="shared" si="5"/>
        <v>-6552.5138358897311</v>
      </c>
      <c r="L36" s="1365">
        <f t="shared" si="6"/>
        <v>0</v>
      </c>
      <c r="M36" s="1365">
        <f t="shared" si="7"/>
        <v>-6552.5138358897311</v>
      </c>
    </row>
    <row r="37" spans="1:13" ht="14.25">
      <c r="A37" s="1186">
        <v>32</v>
      </c>
      <c r="B37" s="1186" t="s">
        <v>640</v>
      </c>
      <c r="C37" s="1351">
        <f>[14]Sheet1!$K36</f>
        <v>33</v>
      </c>
      <c r="D37" s="1351">
        <f>'[16]Final 2-1-12 SIS'!$S42</f>
        <v>32</v>
      </c>
      <c r="E37" s="1352">
        <f t="shared" si="1"/>
        <v>-1</v>
      </c>
      <c r="F37" s="1352">
        <f t="shared" si="2"/>
        <v>0</v>
      </c>
      <c r="G37" s="1352">
        <f t="shared" si="3"/>
        <v>-1</v>
      </c>
      <c r="H37" s="1353">
        <f>'Table 5C3 - LA Connections  '!D36</f>
        <v>4878.1056037962908</v>
      </c>
      <c r="I37" s="1353">
        <f>'Table 5C3 - LA Connections  '!F36</f>
        <v>503.79300000000001</v>
      </c>
      <c r="J37" s="1353">
        <f t="shared" si="4"/>
        <v>2690.9493018981452</v>
      </c>
      <c r="K37" s="1354">
        <f t="shared" si="5"/>
        <v>-2690.9493018981452</v>
      </c>
      <c r="L37" s="1365">
        <f t="shared" si="6"/>
        <v>0</v>
      </c>
      <c r="M37" s="1365">
        <f t="shared" si="7"/>
        <v>-2690.9493018981452</v>
      </c>
    </row>
    <row r="38" spans="1:13" ht="14.25">
      <c r="A38" s="1186">
        <v>33</v>
      </c>
      <c r="B38" s="1186" t="s">
        <v>938</v>
      </c>
      <c r="C38" s="1355">
        <f>[14]Sheet1!$K37</f>
        <v>2</v>
      </c>
      <c r="D38" s="1355">
        <f>'[16]Final 2-1-12 SIS'!$S43</f>
        <v>2</v>
      </c>
      <c r="E38" s="1352">
        <f t="shared" si="1"/>
        <v>0</v>
      </c>
      <c r="F38" s="1352">
        <f t="shared" si="2"/>
        <v>0</v>
      </c>
      <c r="G38" s="1352">
        <f t="shared" si="3"/>
        <v>0</v>
      </c>
      <c r="H38" s="1356">
        <f>'Table 5C3 - LA Connections  '!D37</f>
        <v>5150.6824273781667</v>
      </c>
      <c r="I38" s="1356">
        <f>'Table 5C3 - LA Connections  '!F37</f>
        <v>589.77900000000011</v>
      </c>
      <c r="J38" s="1356">
        <f t="shared" si="4"/>
        <v>2870.2307136890836</v>
      </c>
      <c r="K38" s="1354">
        <f t="shared" si="5"/>
        <v>0</v>
      </c>
      <c r="L38" s="1365">
        <f t="shared" si="6"/>
        <v>0</v>
      </c>
      <c r="M38" s="1365">
        <f t="shared" si="7"/>
        <v>0</v>
      </c>
    </row>
    <row r="39" spans="1:13" ht="14.25">
      <c r="A39" s="1186">
        <v>34</v>
      </c>
      <c r="B39" s="1186" t="s">
        <v>939</v>
      </c>
      <c r="C39" s="1355">
        <f>[14]Sheet1!$K38</f>
        <v>2</v>
      </c>
      <c r="D39" s="1355">
        <f>'[16]Final 2-1-12 SIS'!$S44</f>
        <v>2</v>
      </c>
      <c r="E39" s="1352">
        <f t="shared" si="1"/>
        <v>0</v>
      </c>
      <c r="F39" s="1352">
        <f t="shared" si="2"/>
        <v>0</v>
      </c>
      <c r="G39" s="1352">
        <f t="shared" si="3"/>
        <v>0</v>
      </c>
      <c r="H39" s="1356">
        <f>'Table 5C3 - LA Connections  '!D38</f>
        <v>5188.309170721649</v>
      </c>
      <c r="I39" s="1356">
        <f>'Table 5C3 - LA Connections  '!F38</f>
        <v>579.69900000000018</v>
      </c>
      <c r="J39" s="1356">
        <f t="shared" si="4"/>
        <v>2884.0040853608248</v>
      </c>
      <c r="K39" s="1354">
        <f t="shared" si="5"/>
        <v>0</v>
      </c>
      <c r="L39" s="1365">
        <f t="shared" si="6"/>
        <v>0</v>
      </c>
      <c r="M39" s="1365">
        <f t="shared" si="7"/>
        <v>0</v>
      </c>
    </row>
    <row r="40" spans="1:13" ht="14.25">
      <c r="A40" s="1192">
        <v>35</v>
      </c>
      <c r="B40" s="1192" t="s">
        <v>940</v>
      </c>
      <c r="C40" s="1358">
        <f>[14]Sheet1!$K39</f>
        <v>11</v>
      </c>
      <c r="D40" s="1358">
        <f>'[16]Final 2-1-12 SIS'!$S45</f>
        <v>10</v>
      </c>
      <c r="E40" s="1359">
        <f t="shared" si="1"/>
        <v>-1</v>
      </c>
      <c r="F40" s="1359">
        <f t="shared" si="2"/>
        <v>0</v>
      </c>
      <c r="G40" s="1359">
        <f t="shared" si="3"/>
        <v>-1</v>
      </c>
      <c r="H40" s="1361">
        <f>'Table 5C3 - LA Connections  '!D39</f>
        <v>4468.1274864201305</v>
      </c>
      <c r="I40" s="1361">
        <f>'Table 5C3 - LA Connections  '!F39</f>
        <v>484.16400000000004</v>
      </c>
      <c r="J40" s="1361">
        <f t="shared" si="4"/>
        <v>2476.1457432100651</v>
      </c>
      <c r="K40" s="1362">
        <f t="shared" si="5"/>
        <v>-2476.1457432100651</v>
      </c>
      <c r="L40" s="1366">
        <f t="shared" si="6"/>
        <v>0</v>
      </c>
      <c r="M40" s="1366">
        <f t="shared" si="7"/>
        <v>-2476.1457432100651</v>
      </c>
    </row>
    <row r="41" spans="1:13" ht="14.25">
      <c r="A41" s="1186">
        <v>36</v>
      </c>
      <c r="B41" s="1186" t="s">
        <v>662</v>
      </c>
      <c r="C41" s="1355">
        <f>[14]Sheet1!$K40</f>
        <v>14</v>
      </c>
      <c r="D41" s="1355">
        <f>'[16]Final 2-1-12 SIS'!$S46</f>
        <v>14</v>
      </c>
      <c r="E41" s="1352">
        <f t="shared" si="1"/>
        <v>0</v>
      </c>
      <c r="F41" s="1352">
        <f t="shared" si="2"/>
        <v>0</v>
      </c>
      <c r="G41" s="1352">
        <f t="shared" si="3"/>
        <v>0</v>
      </c>
      <c r="H41" s="1356">
        <f>'Table 5C3 - LA Connections  '!D40</f>
        <v>2926.8243863744597</v>
      </c>
      <c r="I41" s="1356">
        <f>'Table 5C3 - LA Connections  '!F40</f>
        <v>671.43020547945218</v>
      </c>
      <c r="J41" s="1356">
        <f t="shared" si="4"/>
        <v>1799.1272959269559</v>
      </c>
      <c r="K41" s="1354">
        <f t="shared" si="5"/>
        <v>0</v>
      </c>
      <c r="L41" s="1365">
        <f t="shared" si="6"/>
        <v>0</v>
      </c>
      <c r="M41" s="1365">
        <f t="shared" si="7"/>
        <v>0</v>
      </c>
    </row>
    <row r="42" spans="1:13" ht="14.25">
      <c r="A42" s="1186">
        <v>37</v>
      </c>
      <c r="B42" s="1186" t="s">
        <v>653</v>
      </c>
      <c r="C42" s="1351">
        <f>[14]Sheet1!$K41</f>
        <v>16</v>
      </c>
      <c r="D42" s="1351">
        <f>'[16]Final 2-1-12 SIS'!$S47</f>
        <v>12</v>
      </c>
      <c r="E42" s="1352">
        <f t="shared" si="1"/>
        <v>-4</v>
      </c>
      <c r="F42" s="1352">
        <f t="shared" si="2"/>
        <v>0</v>
      </c>
      <c r="G42" s="1352">
        <f t="shared" si="3"/>
        <v>-4</v>
      </c>
      <c r="H42" s="1353">
        <f>'Table 5C3 - LA Connections  '!D41</f>
        <v>4924.8804762576674</v>
      </c>
      <c r="I42" s="1353">
        <f>'Table 5C3 - LA Connections  '!F41</f>
        <v>588.24900000000002</v>
      </c>
      <c r="J42" s="1353">
        <f t="shared" si="4"/>
        <v>2756.5647381288336</v>
      </c>
      <c r="K42" s="1354">
        <f t="shared" si="5"/>
        <v>-11026.258952515334</v>
      </c>
      <c r="L42" s="1365">
        <f t="shared" si="6"/>
        <v>0</v>
      </c>
      <c r="M42" s="1365">
        <f t="shared" si="7"/>
        <v>-11026.258952515334</v>
      </c>
    </row>
    <row r="43" spans="1:13" ht="14.25">
      <c r="A43" s="1186">
        <v>38</v>
      </c>
      <c r="B43" s="1186" t="s">
        <v>673</v>
      </c>
      <c r="C43" s="1355">
        <f>[14]Sheet1!$K42</f>
        <v>0</v>
      </c>
      <c r="D43" s="1355">
        <f>'[16]Final 2-1-12 SIS'!$S48</f>
        <v>0</v>
      </c>
      <c r="E43" s="1352">
        <f t="shared" si="1"/>
        <v>0</v>
      </c>
      <c r="F43" s="1352">
        <f t="shared" si="2"/>
        <v>0</v>
      </c>
      <c r="G43" s="1352">
        <f t="shared" si="3"/>
        <v>0</v>
      </c>
      <c r="H43" s="1353">
        <f>'Table 5C3 - LA Connections  '!D42</f>
        <v>2156.9024476931331</v>
      </c>
      <c r="I43" s="1353">
        <f>'Table 5C3 - LA Connections  '!F42</f>
        <v>746.92800000000011</v>
      </c>
      <c r="J43" s="1356">
        <f t="shared" si="4"/>
        <v>1451.9152238465667</v>
      </c>
      <c r="K43" s="1354">
        <f t="shared" si="5"/>
        <v>0</v>
      </c>
      <c r="L43" s="1365">
        <f t="shared" si="6"/>
        <v>0</v>
      </c>
      <c r="M43" s="1365">
        <f t="shared" si="7"/>
        <v>0</v>
      </c>
    </row>
    <row r="44" spans="1:13" ht="14.25">
      <c r="A44" s="1186">
        <v>39</v>
      </c>
      <c r="B44" s="1186" t="s">
        <v>941</v>
      </c>
      <c r="C44" s="1355">
        <f>[14]Sheet1!$K43</f>
        <v>6</v>
      </c>
      <c r="D44" s="1355">
        <f>'[16]Final 2-1-12 SIS'!$S49</f>
        <v>5</v>
      </c>
      <c r="E44" s="1352">
        <f t="shared" si="1"/>
        <v>-1</v>
      </c>
      <c r="F44" s="1352">
        <f t="shared" si="2"/>
        <v>0</v>
      </c>
      <c r="G44" s="1352">
        <f t="shared" si="3"/>
        <v>-1</v>
      </c>
      <c r="H44" s="1356">
        <f>'Table 5C3 - LA Connections  '!D43</f>
        <v>3271.7738389265178</v>
      </c>
      <c r="I44" s="1356">
        <f>'Table 5C3 - LA Connections  '!F43</f>
        <v>701.69015738498797</v>
      </c>
      <c r="J44" s="1356">
        <f t="shared" si="4"/>
        <v>1986.731998155753</v>
      </c>
      <c r="K44" s="1354">
        <f t="shared" si="5"/>
        <v>-1986.731998155753</v>
      </c>
      <c r="L44" s="1365">
        <f t="shared" si="6"/>
        <v>0</v>
      </c>
      <c r="M44" s="1365">
        <f t="shared" si="7"/>
        <v>-1986.731998155753</v>
      </c>
    </row>
    <row r="45" spans="1:13" ht="14.25">
      <c r="A45" s="1192">
        <v>40</v>
      </c>
      <c r="B45" s="1192" t="s">
        <v>942</v>
      </c>
      <c r="C45" s="1358">
        <f>[14]Sheet1!$K44</f>
        <v>26</v>
      </c>
      <c r="D45" s="1358">
        <f>'[16]Final 2-1-12 SIS'!$S50</f>
        <v>24</v>
      </c>
      <c r="E45" s="1359">
        <f t="shared" si="1"/>
        <v>-2</v>
      </c>
      <c r="F45" s="1359">
        <f t="shared" si="2"/>
        <v>0</v>
      </c>
      <c r="G45" s="1359">
        <f t="shared" si="3"/>
        <v>-2</v>
      </c>
      <c r="H45" s="1361">
        <f>'Table 5C3 - LA Connections  '!D44</f>
        <v>4318.8915815212367</v>
      </c>
      <c r="I45" s="1361">
        <f>'Table 5C3 - LA Connections  '!F44</f>
        <v>630.24300000000005</v>
      </c>
      <c r="J45" s="1361">
        <f t="shared" si="4"/>
        <v>2474.5672907606186</v>
      </c>
      <c r="K45" s="1362">
        <f t="shared" si="5"/>
        <v>-4949.1345815212371</v>
      </c>
      <c r="L45" s="1366">
        <f t="shared" si="6"/>
        <v>0</v>
      </c>
      <c r="M45" s="1366">
        <f t="shared" si="7"/>
        <v>-4949.1345815212371</v>
      </c>
    </row>
    <row r="46" spans="1:13" ht="14.25">
      <c r="A46" s="1186">
        <v>41</v>
      </c>
      <c r="B46" s="1186" t="s">
        <v>943</v>
      </c>
      <c r="C46" s="1351">
        <f>[14]Sheet1!$K45</f>
        <v>1</v>
      </c>
      <c r="D46" s="1351">
        <f>'[16]Final 2-1-12 SIS'!$S51</f>
        <v>1</v>
      </c>
      <c r="E46" s="1352">
        <f t="shared" si="1"/>
        <v>0</v>
      </c>
      <c r="F46" s="1352">
        <f t="shared" si="2"/>
        <v>0</v>
      </c>
      <c r="G46" s="1352">
        <f t="shared" si="3"/>
        <v>0</v>
      </c>
      <c r="H46" s="1353">
        <f>'Table 5C3 - LA Connections  '!D45</f>
        <v>2023.0154811715481</v>
      </c>
      <c r="I46" s="1353">
        <f>'Table 5C3 - LA Connections  '!F45</f>
        <v>797.59800000000007</v>
      </c>
      <c r="J46" s="1353">
        <f t="shared" si="4"/>
        <v>1410.3067405857742</v>
      </c>
      <c r="K46" s="1354">
        <f t="shared" si="5"/>
        <v>0</v>
      </c>
      <c r="L46" s="1365">
        <f t="shared" si="6"/>
        <v>0</v>
      </c>
      <c r="M46" s="1365">
        <f t="shared" si="7"/>
        <v>0</v>
      </c>
    </row>
    <row r="47" spans="1:13" ht="14.25">
      <c r="A47" s="1186">
        <v>42</v>
      </c>
      <c r="B47" s="1186" t="s">
        <v>944</v>
      </c>
      <c r="C47" s="1351">
        <f>[14]Sheet1!$K46</f>
        <v>0</v>
      </c>
      <c r="D47" s="1351">
        <f>'[16]Final 2-1-12 SIS'!$S52</f>
        <v>0</v>
      </c>
      <c r="E47" s="1352">
        <f t="shared" si="1"/>
        <v>0</v>
      </c>
      <c r="F47" s="1352">
        <f t="shared" si="2"/>
        <v>0</v>
      </c>
      <c r="G47" s="1352">
        <f t="shared" si="3"/>
        <v>0</v>
      </c>
      <c r="H47" s="1353">
        <f>'Table 5C3 - LA Connections  '!D46</f>
        <v>4950.977089527617</v>
      </c>
      <c r="I47" s="1353">
        <f>'Table 5C3 - LA Connections  '!F46</f>
        <v>480.85199999999998</v>
      </c>
      <c r="J47" s="1353">
        <f t="shared" si="4"/>
        <v>2715.9145447638084</v>
      </c>
      <c r="K47" s="1354">
        <f t="shared" si="5"/>
        <v>0</v>
      </c>
      <c r="L47" s="1365">
        <f t="shared" si="6"/>
        <v>0</v>
      </c>
      <c r="M47" s="1365">
        <f t="shared" si="7"/>
        <v>0</v>
      </c>
    </row>
    <row r="48" spans="1:13" ht="14.25">
      <c r="A48" s="1186">
        <v>43</v>
      </c>
      <c r="B48" s="1186" t="s">
        <v>945</v>
      </c>
      <c r="C48" s="1355">
        <f>[14]Sheet1!$K47</f>
        <v>7</v>
      </c>
      <c r="D48" s="1355">
        <f>'[16]Final 2-1-12 SIS'!$S53</f>
        <v>6</v>
      </c>
      <c r="E48" s="1352">
        <f t="shared" si="1"/>
        <v>-1</v>
      </c>
      <c r="F48" s="1352">
        <f t="shared" si="2"/>
        <v>0</v>
      </c>
      <c r="G48" s="1352">
        <f t="shared" si="3"/>
        <v>-1</v>
      </c>
      <c r="H48" s="1356">
        <f>'Table 5C3 - LA Connections  '!D47</f>
        <v>5366.323998911892</v>
      </c>
      <c r="I48" s="1356">
        <f>'Table 5C3 - LA Connections  '!F47</f>
        <v>517.14899999999989</v>
      </c>
      <c r="J48" s="1356">
        <f t="shared" si="4"/>
        <v>2941.7364994559457</v>
      </c>
      <c r="K48" s="1354">
        <f t="shared" si="5"/>
        <v>-2941.7364994559457</v>
      </c>
      <c r="L48" s="1365">
        <f t="shared" si="6"/>
        <v>0</v>
      </c>
      <c r="M48" s="1365">
        <f t="shared" si="7"/>
        <v>-2941.7364994559457</v>
      </c>
    </row>
    <row r="49" spans="1:13" ht="14.25">
      <c r="A49" s="1186">
        <v>44</v>
      </c>
      <c r="B49" s="1186" t="s">
        <v>664</v>
      </c>
      <c r="C49" s="1355">
        <f>[14]Sheet1!$K48</f>
        <v>5</v>
      </c>
      <c r="D49" s="1355">
        <f>'[16]Final 2-1-12 SIS'!$S54</f>
        <v>4</v>
      </c>
      <c r="E49" s="1352">
        <f t="shared" si="1"/>
        <v>-1</v>
      </c>
      <c r="F49" s="1352">
        <f t="shared" si="2"/>
        <v>0</v>
      </c>
      <c r="G49" s="1352">
        <f t="shared" si="3"/>
        <v>-1</v>
      </c>
      <c r="H49" s="1356">
        <f>'Table 5C3 - LA Connections  '!D48</f>
        <v>3921.5191182073468</v>
      </c>
      <c r="I49" s="1356">
        <f>'Table 5C3 - LA Connections  '!F48</f>
        <v>596.84400000000005</v>
      </c>
      <c r="J49" s="1356">
        <f t="shared" si="4"/>
        <v>2259.1815591036734</v>
      </c>
      <c r="K49" s="1354">
        <f t="shared" si="5"/>
        <v>-2259.1815591036734</v>
      </c>
      <c r="L49" s="1365">
        <f t="shared" si="6"/>
        <v>0</v>
      </c>
      <c r="M49" s="1365">
        <f t="shared" si="7"/>
        <v>-2259.1815591036734</v>
      </c>
    </row>
    <row r="50" spans="1:13" ht="14.25">
      <c r="A50" s="1192">
        <v>45</v>
      </c>
      <c r="B50" s="1192" t="s">
        <v>665</v>
      </c>
      <c r="C50" s="1358">
        <f>[14]Sheet1!$K49</f>
        <v>5</v>
      </c>
      <c r="D50" s="1358">
        <f>'[16]Final 2-1-12 SIS'!$S55</f>
        <v>6</v>
      </c>
      <c r="E50" s="1359">
        <f t="shared" si="1"/>
        <v>1</v>
      </c>
      <c r="F50" s="1359">
        <f t="shared" si="2"/>
        <v>1</v>
      </c>
      <c r="G50" s="1359">
        <f t="shared" si="3"/>
        <v>0</v>
      </c>
      <c r="H50" s="1361">
        <f>'Table 5C3 - LA Connections  '!D49</f>
        <v>2187.4313891834572</v>
      </c>
      <c r="I50" s="1361">
        <f>'Table 5C3 - LA Connections  '!F49</f>
        <v>678.56400000000019</v>
      </c>
      <c r="J50" s="1361">
        <f t="shared" si="4"/>
        <v>1432.9976945917288</v>
      </c>
      <c r="K50" s="1362">
        <f t="shared" si="5"/>
        <v>1432.9976945917288</v>
      </c>
      <c r="L50" s="1366">
        <f t="shared" si="6"/>
        <v>1432.9976945917288</v>
      </c>
      <c r="M50" s="1366">
        <f t="shared" si="7"/>
        <v>0</v>
      </c>
    </row>
    <row r="51" spans="1:13" ht="14.25">
      <c r="A51" s="1186">
        <v>46</v>
      </c>
      <c r="B51" s="1186" t="s">
        <v>946</v>
      </c>
      <c r="C51" s="1351">
        <f>[14]Sheet1!$K50</f>
        <v>0</v>
      </c>
      <c r="D51" s="1351">
        <f>'[16]Final 2-1-12 SIS'!$S56</f>
        <v>0</v>
      </c>
      <c r="E51" s="1352">
        <f t="shared" si="1"/>
        <v>0</v>
      </c>
      <c r="F51" s="1352">
        <f t="shared" si="2"/>
        <v>0</v>
      </c>
      <c r="G51" s="1352">
        <f t="shared" si="3"/>
        <v>0</v>
      </c>
      <c r="H51" s="1356">
        <f>'Table 5C3 - LA Connections  '!D50</f>
        <v>5221.8999089820491</v>
      </c>
      <c r="I51" s="1356">
        <f>'Table 5C3 - LA Connections  '!F50</f>
        <v>655.25400000000002</v>
      </c>
      <c r="J51" s="1353">
        <f t="shared" si="4"/>
        <v>2938.5769544910245</v>
      </c>
      <c r="K51" s="1354">
        <f t="shared" si="5"/>
        <v>0</v>
      </c>
      <c r="L51" s="1365">
        <f t="shared" si="6"/>
        <v>0</v>
      </c>
      <c r="M51" s="1365">
        <f t="shared" si="7"/>
        <v>0</v>
      </c>
    </row>
    <row r="52" spans="1:13" ht="14.25">
      <c r="A52" s="1186">
        <v>47</v>
      </c>
      <c r="B52" s="1186" t="s">
        <v>947</v>
      </c>
      <c r="C52" s="1351">
        <f>[14]Sheet1!$K51</f>
        <v>0</v>
      </c>
      <c r="D52" s="1351">
        <f>'[16]Final 2-1-12 SIS'!$S57</f>
        <v>0</v>
      </c>
      <c r="E52" s="1352">
        <f t="shared" si="1"/>
        <v>0</v>
      </c>
      <c r="F52" s="1352">
        <f t="shared" si="2"/>
        <v>0</v>
      </c>
      <c r="G52" s="1352">
        <f t="shared" si="3"/>
        <v>0</v>
      </c>
      <c r="H52" s="1353">
        <f>'Table 5C3 - LA Connections  '!D51</f>
        <v>3098.1307624872338</v>
      </c>
      <c r="I52" s="1353">
        <f>'Table 5C3 - LA Connections  '!F51</f>
        <v>819.68399999999997</v>
      </c>
      <c r="J52" s="1353">
        <f t="shared" si="4"/>
        <v>1958.9073812436168</v>
      </c>
      <c r="K52" s="1354">
        <f t="shared" si="5"/>
        <v>0</v>
      </c>
      <c r="L52" s="1365">
        <f t="shared" si="6"/>
        <v>0</v>
      </c>
      <c r="M52" s="1365">
        <f t="shared" si="7"/>
        <v>0</v>
      </c>
    </row>
    <row r="53" spans="1:13" ht="14.25">
      <c r="A53" s="1186">
        <v>48</v>
      </c>
      <c r="B53" s="1186" t="s">
        <v>948</v>
      </c>
      <c r="C53" s="1355">
        <f>[14]Sheet1!$K52</f>
        <v>3</v>
      </c>
      <c r="D53" s="1355">
        <f>'[16]Final 2-1-12 SIS'!$S58</f>
        <v>3</v>
      </c>
      <c r="E53" s="1352">
        <f t="shared" si="1"/>
        <v>0</v>
      </c>
      <c r="F53" s="1352">
        <f t="shared" si="2"/>
        <v>0</v>
      </c>
      <c r="G53" s="1352">
        <f t="shared" si="3"/>
        <v>0</v>
      </c>
      <c r="H53" s="1356">
        <f>'Table 5C3 - LA Connections  '!D52</f>
        <v>3116.6706997342021</v>
      </c>
      <c r="I53" s="1356">
        <f>'Table 5C3 - LA Connections  '!F52</f>
        <v>783.96300000000008</v>
      </c>
      <c r="J53" s="1356">
        <f t="shared" si="4"/>
        <v>1950.3168498671012</v>
      </c>
      <c r="K53" s="1354">
        <f t="shared" si="5"/>
        <v>0</v>
      </c>
      <c r="L53" s="1365">
        <f t="shared" si="6"/>
        <v>0</v>
      </c>
      <c r="M53" s="1365">
        <f t="shared" si="7"/>
        <v>0</v>
      </c>
    </row>
    <row r="54" spans="1:13" ht="14.25">
      <c r="A54" s="1186">
        <v>49</v>
      </c>
      <c r="B54" s="1186" t="s">
        <v>949</v>
      </c>
      <c r="C54" s="1355">
        <f>[14]Sheet1!$K53</f>
        <v>8</v>
      </c>
      <c r="D54" s="1355">
        <f>'[16]Final 2-1-12 SIS'!$S59</f>
        <v>11</v>
      </c>
      <c r="E54" s="1352">
        <f t="shared" si="1"/>
        <v>3</v>
      </c>
      <c r="F54" s="1352">
        <f t="shared" si="2"/>
        <v>3</v>
      </c>
      <c r="G54" s="1352">
        <f t="shared" si="3"/>
        <v>0</v>
      </c>
      <c r="H54" s="1356">
        <f>'Table 5C3 - LA Connections  '!D53</f>
        <v>4382.8223958618019</v>
      </c>
      <c r="I54" s="1356">
        <f>'Table 5C3 - LA Connections  '!F53</f>
        <v>516.99599999999998</v>
      </c>
      <c r="J54" s="1356">
        <f t="shared" si="4"/>
        <v>2449.909197930901</v>
      </c>
      <c r="K54" s="1354">
        <f t="shared" si="5"/>
        <v>7349.7275937927025</v>
      </c>
      <c r="L54" s="1365">
        <f t="shared" si="6"/>
        <v>7349.7275937927025</v>
      </c>
      <c r="M54" s="1365">
        <f t="shared" si="7"/>
        <v>0</v>
      </c>
    </row>
    <row r="55" spans="1:13" ht="14.25">
      <c r="A55" s="1192">
        <v>50</v>
      </c>
      <c r="B55" s="1192" t="s">
        <v>950</v>
      </c>
      <c r="C55" s="1358">
        <f>[14]Sheet1!$K54</f>
        <v>17</v>
      </c>
      <c r="D55" s="1358">
        <f>'[16]Final 2-1-12 SIS'!$S60</f>
        <v>15</v>
      </c>
      <c r="E55" s="1359">
        <f t="shared" si="1"/>
        <v>-2</v>
      </c>
      <c r="F55" s="1359">
        <f t="shared" si="2"/>
        <v>0</v>
      </c>
      <c r="G55" s="1359">
        <f t="shared" si="3"/>
        <v>-2</v>
      </c>
      <c r="H55" s="1361">
        <f>'Table 5C3 - LA Connections  '!D54</f>
        <v>4559.7314595568487</v>
      </c>
      <c r="I55" s="1361">
        <f>'Table 5C3 - LA Connections  '!F54</f>
        <v>571.01400000000001</v>
      </c>
      <c r="J55" s="1361">
        <f t="shared" si="4"/>
        <v>2565.3727297784244</v>
      </c>
      <c r="K55" s="1362">
        <f t="shared" si="5"/>
        <v>-5130.7454595568488</v>
      </c>
      <c r="L55" s="1366">
        <f t="shared" si="6"/>
        <v>0</v>
      </c>
      <c r="M55" s="1366">
        <f t="shared" si="7"/>
        <v>-5130.7454595568488</v>
      </c>
    </row>
    <row r="56" spans="1:13" ht="14.25">
      <c r="A56" s="1186">
        <v>51</v>
      </c>
      <c r="B56" s="1186" t="s">
        <v>951</v>
      </c>
      <c r="C56" s="1351">
        <f>[14]Sheet1!$K55</f>
        <v>4</v>
      </c>
      <c r="D56" s="1351">
        <f>'[16]Final 2-1-12 SIS'!$S61</f>
        <v>6</v>
      </c>
      <c r="E56" s="1352">
        <f t="shared" si="1"/>
        <v>2</v>
      </c>
      <c r="F56" s="1352">
        <f t="shared" si="2"/>
        <v>2</v>
      </c>
      <c r="G56" s="1352">
        <f t="shared" si="3"/>
        <v>0</v>
      </c>
      <c r="H56" s="1353">
        <f>'Table 5C3 - LA Connections  '!D55</f>
        <v>4084.7188881585589</v>
      </c>
      <c r="I56" s="1353">
        <f>'Table 5C3 - LA Connections  '!F55</f>
        <v>635.99400000000003</v>
      </c>
      <c r="J56" s="1353">
        <f t="shared" si="4"/>
        <v>2360.3564440792793</v>
      </c>
      <c r="K56" s="1354">
        <f t="shared" si="5"/>
        <v>4720.7128881585586</v>
      </c>
      <c r="L56" s="1365">
        <f t="shared" si="6"/>
        <v>4720.7128881585586</v>
      </c>
      <c r="M56" s="1365">
        <f t="shared" si="7"/>
        <v>0</v>
      </c>
    </row>
    <row r="57" spans="1:13" ht="14.25">
      <c r="A57" s="1186">
        <v>52</v>
      </c>
      <c r="B57" s="1186" t="s">
        <v>667</v>
      </c>
      <c r="C57" s="1351">
        <f>[14]Sheet1!$K56</f>
        <v>46</v>
      </c>
      <c r="D57" s="1351">
        <f>'[16]Final 2-1-12 SIS'!$S62</f>
        <v>51</v>
      </c>
      <c r="E57" s="1352">
        <f t="shared" si="1"/>
        <v>5</v>
      </c>
      <c r="F57" s="1352">
        <f t="shared" si="2"/>
        <v>5</v>
      </c>
      <c r="G57" s="1352">
        <f t="shared" si="3"/>
        <v>0</v>
      </c>
      <c r="H57" s="1353">
        <f>'Table 5C3 - LA Connections  '!D56</f>
        <v>4487.571353437329</v>
      </c>
      <c r="I57" s="1353">
        <f>'Table 5C3 - LA Connections  '!F56</f>
        <v>592.53300000000002</v>
      </c>
      <c r="J57" s="1353">
        <f t="shared" si="4"/>
        <v>2540.0521767186647</v>
      </c>
      <c r="K57" s="1354">
        <f t="shared" si="5"/>
        <v>12700.260883593324</v>
      </c>
      <c r="L57" s="1365">
        <f t="shared" si="6"/>
        <v>12700.260883593324</v>
      </c>
      <c r="M57" s="1365">
        <f t="shared" si="7"/>
        <v>0</v>
      </c>
    </row>
    <row r="58" spans="1:13" ht="14.25">
      <c r="A58" s="1186">
        <v>53</v>
      </c>
      <c r="B58" s="1186" t="s">
        <v>952</v>
      </c>
      <c r="C58" s="1355">
        <f>[14]Sheet1!$K57</f>
        <v>20</v>
      </c>
      <c r="D58" s="1355">
        <f>'[16]Final 2-1-12 SIS'!$S63</f>
        <v>26</v>
      </c>
      <c r="E58" s="1352">
        <f t="shared" si="1"/>
        <v>6</v>
      </c>
      <c r="F58" s="1352">
        <f t="shared" si="2"/>
        <v>6</v>
      </c>
      <c r="G58" s="1352">
        <f t="shared" si="3"/>
        <v>0</v>
      </c>
      <c r="H58" s="1356">
        <f>'Table 5C3 - LA Connections  '!D57</f>
        <v>4270.7827013792439</v>
      </c>
      <c r="I58" s="1356">
        <f>'Table 5C3 - LA Connections  '!F57</f>
        <v>620.76600000000008</v>
      </c>
      <c r="J58" s="1356">
        <f t="shared" si="4"/>
        <v>2445.7743506896222</v>
      </c>
      <c r="K58" s="1354">
        <f t="shared" si="5"/>
        <v>14674.646104137733</v>
      </c>
      <c r="L58" s="1365">
        <f t="shared" si="6"/>
        <v>14674.646104137733</v>
      </c>
      <c r="M58" s="1365">
        <f t="shared" si="7"/>
        <v>0</v>
      </c>
    </row>
    <row r="59" spans="1:13" ht="14.25">
      <c r="A59" s="1186">
        <v>54</v>
      </c>
      <c r="B59" s="1186" t="s">
        <v>953</v>
      </c>
      <c r="C59" s="1355">
        <f>[14]Sheet1!$K58</f>
        <v>2</v>
      </c>
      <c r="D59" s="1355">
        <f>'[16]Final 2-1-12 SIS'!$S64</f>
        <v>2</v>
      </c>
      <c r="E59" s="1352">
        <f t="shared" si="1"/>
        <v>0</v>
      </c>
      <c r="F59" s="1352">
        <f t="shared" si="2"/>
        <v>0</v>
      </c>
      <c r="G59" s="1352">
        <f t="shared" si="3"/>
        <v>0</v>
      </c>
      <c r="H59" s="1356">
        <f>'Table 5C3 - LA Connections  '!D58</f>
        <v>5088.86379648</v>
      </c>
      <c r="I59" s="1356">
        <f>'Table 5C3 - LA Connections  '!F58</f>
        <v>856.30500000000006</v>
      </c>
      <c r="J59" s="1356">
        <f t="shared" si="4"/>
        <v>2972.5843982400002</v>
      </c>
      <c r="K59" s="1354">
        <f t="shared" si="5"/>
        <v>0</v>
      </c>
      <c r="L59" s="1365">
        <f t="shared" si="6"/>
        <v>0</v>
      </c>
      <c r="M59" s="1365">
        <f t="shared" si="7"/>
        <v>0</v>
      </c>
    </row>
    <row r="60" spans="1:13" ht="14.25">
      <c r="A60" s="1192">
        <v>55</v>
      </c>
      <c r="B60" s="1192" t="s">
        <v>954</v>
      </c>
      <c r="C60" s="1358">
        <f>[14]Sheet1!$K59</f>
        <v>13</v>
      </c>
      <c r="D60" s="1358">
        <f>'[16]Final 2-1-12 SIS'!$S65</f>
        <v>13</v>
      </c>
      <c r="E60" s="1359">
        <f t="shared" si="1"/>
        <v>0</v>
      </c>
      <c r="F60" s="1359">
        <f t="shared" si="2"/>
        <v>0</v>
      </c>
      <c r="G60" s="1359">
        <f t="shared" si="3"/>
        <v>0</v>
      </c>
      <c r="H60" s="1361">
        <f>'Table 5C3 - LA Connections  '!D59</f>
        <v>3661.7481053348683</v>
      </c>
      <c r="I60" s="1361">
        <f>'Table 5C3 - LA Connections  '!F59</f>
        <v>715.62599999999998</v>
      </c>
      <c r="J60" s="1361">
        <f t="shared" si="4"/>
        <v>2188.6870526674343</v>
      </c>
      <c r="K60" s="1362">
        <f t="shared" si="5"/>
        <v>0</v>
      </c>
      <c r="L60" s="1366">
        <f t="shared" si="6"/>
        <v>0</v>
      </c>
      <c r="M60" s="1366">
        <f t="shared" si="7"/>
        <v>0</v>
      </c>
    </row>
    <row r="61" spans="1:13" ht="14.25">
      <c r="A61" s="1186">
        <v>56</v>
      </c>
      <c r="B61" s="1186" t="s">
        <v>652</v>
      </c>
      <c r="C61" s="1351">
        <f>[14]Sheet1!$K60</f>
        <v>2</v>
      </c>
      <c r="D61" s="1351">
        <f>'[16]Final 2-1-12 SIS'!$S66</f>
        <v>3</v>
      </c>
      <c r="E61" s="1352">
        <f t="shared" si="1"/>
        <v>1</v>
      </c>
      <c r="F61" s="1352">
        <f t="shared" si="2"/>
        <v>1</v>
      </c>
      <c r="G61" s="1352">
        <f t="shared" si="3"/>
        <v>0</v>
      </c>
      <c r="H61" s="1353">
        <f>'Table 5C3 - LA Connections  '!D60</f>
        <v>4589.6942743758955</v>
      </c>
      <c r="I61" s="1353">
        <f>'Table 5C3 - LA Connections  '!F60</f>
        <v>553.19400000000007</v>
      </c>
      <c r="J61" s="1353">
        <f t="shared" si="4"/>
        <v>2571.4441371879479</v>
      </c>
      <c r="K61" s="1354">
        <f t="shared" si="5"/>
        <v>2571.4441371879479</v>
      </c>
      <c r="L61" s="1365">
        <f t="shared" si="6"/>
        <v>2571.4441371879479</v>
      </c>
      <c r="M61" s="1365">
        <f t="shared" si="7"/>
        <v>0</v>
      </c>
    </row>
    <row r="62" spans="1:13" ht="14.25">
      <c r="A62" s="1186">
        <v>57</v>
      </c>
      <c r="B62" s="1186" t="s">
        <v>955</v>
      </c>
      <c r="C62" s="1351">
        <f>[14]Sheet1!$K61</f>
        <v>6</v>
      </c>
      <c r="D62" s="1351">
        <f>'[16]Final 2-1-12 SIS'!$S67</f>
        <v>7</v>
      </c>
      <c r="E62" s="1352">
        <f t="shared" si="1"/>
        <v>1</v>
      </c>
      <c r="F62" s="1352">
        <f t="shared" si="2"/>
        <v>1</v>
      </c>
      <c r="G62" s="1352">
        <f t="shared" si="3"/>
        <v>0</v>
      </c>
      <c r="H62" s="1353">
        <f>'Table 5C3 - LA Connections  '!D61</f>
        <v>4070.7778701927314</v>
      </c>
      <c r="I62" s="1353">
        <f>'Table 5C3 - LA Connections  '!F61</f>
        <v>688.05899999999997</v>
      </c>
      <c r="J62" s="1353">
        <f t="shared" si="4"/>
        <v>2379.4184350963656</v>
      </c>
      <c r="K62" s="1354">
        <f t="shared" si="5"/>
        <v>2379.4184350963656</v>
      </c>
      <c r="L62" s="1365">
        <f t="shared" si="6"/>
        <v>2379.4184350963656</v>
      </c>
      <c r="M62" s="1365">
        <f t="shared" si="7"/>
        <v>0</v>
      </c>
    </row>
    <row r="63" spans="1:13" ht="14.25">
      <c r="A63" s="1186">
        <v>58</v>
      </c>
      <c r="B63" s="1186" t="s">
        <v>956</v>
      </c>
      <c r="C63" s="1355">
        <f>[14]Sheet1!$K62</f>
        <v>13</v>
      </c>
      <c r="D63" s="1355">
        <f>'[16]Final 2-1-12 SIS'!$S68</f>
        <v>12</v>
      </c>
      <c r="E63" s="1352">
        <f t="shared" si="1"/>
        <v>-1</v>
      </c>
      <c r="F63" s="1352">
        <f t="shared" si="2"/>
        <v>0</v>
      </c>
      <c r="G63" s="1352">
        <f t="shared" si="3"/>
        <v>-1</v>
      </c>
      <c r="H63" s="1356">
        <f>'Table 5C3 - LA Connections  '!D62</f>
        <v>4756.468530368832</v>
      </c>
      <c r="I63" s="1356">
        <f>'Table 5C3 - LA Connections  '!F62</f>
        <v>627.33600000000001</v>
      </c>
      <c r="J63" s="1356">
        <f t="shared" si="4"/>
        <v>2691.9022651844161</v>
      </c>
      <c r="K63" s="1354">
        <f t="shared" si="5"/>
        <v>-2691.9022651844161</v>
      </c>
      <c r="L63" s="1365">
        <f t="shared" si="6"/>
        <v>0</v>
      </c>
      <c r="M63" s="1365">
        <f t="shared" si="7"/>
        <v>-2691.9022651844161</v>
      </c>
    </row>
    <row r="64" spans="1:13" ht="14.25">
      <c r="A64" s="1186">
        <v>59</v>
      </c>
      <c r="B64" s="1186" t="s">
        <v>957</v>
      </c>
      <c r="C64" s="1355">
        <f>[14]Sheet1!$K63</f>
        <v>8</v>
      </c>
      <c r="D64" s="1355">
        <f>'[16]Final 2-1-12 SIS'!$S69</f>
        <v>9</v>
      </c>
      <c r="E64" s="1352">
        <f t="shared" si="1"/>
        <v>1</v>
      </c>
      <c r="F64" s="1352">
        <f t="shared" si="2"/>
        <v>1</v>
      </c>
      <c r="G64" s="1352">
        <f t="shared" si="3"/>
        <v>0</v>
      </c>
      <c r="H64" s="1356">
        <f>'Table 5C3 - LA Connections  '!D63</f>
        <v>5589.7772228340255</v>
      </c>
      <c r="I64" s="1356">
        <f>'Table 5C3 - LA Connections  '!F63</f>
        <v>620.56799999999998</v>
      </c>
      <c r="J64" s="1356">
        <f t="shared" si="4"/>
        <v>3105.1726114170128</v>
      </c>
      <c r="K64" s="1354">
        <f t="shared" si="5"/>
        <v>3105.1726114170128</v>
      </c>
      <c r="L64" s="1365">
        <f t="shared" si="6"/>
        <v>3105.1726114170128</v>
      </c>
      <c r="M64" s="1365">
        <f t="shared" si="7"/>
        <v>0</v>
      </c>
    </row>
    <row r="65" spans="1:13" ht="14.25">
      <c r="A65" s="1192">
        <v>60</v>
      </c>
      <c r="B65" s="1192" t="s">
        <v>958</v>
      </c>
      <c r="C65" s="1358">
        <f>[14]Sheet1!$K64</f>
        <v>17</v>
      </c>
      <c r="D65" s="1358">
        <f>'[16]Final 2-1-12 SIS'!$S70</f>
        <v>16</v>
      </c>
      <c r="E65" s="1359">
        <f t="shared" si="1"/>
        <v>-1</v>
      </c>
      <c r="F65" s="1359">
        <f t="shared" si="2"/>
        <v>0</v>
      </c>
      <c r="G65" s="1359">
        <f t="shared" si="3"/>
        <v>-1</v>
      </c>
      <c r="H65" s="1361">
        <f>'Table 5C3 - LA Connections  '!D64</f>
        <v>4422.4714493933088</v>
      </c>
      <c r="I65" s="1361">
        <f>'Table 5C3 - LA Connections  '!F64</f>
        <v>534.63599999999997</v>
      </c>
      <c r="J65" s="1361">
        <f t="shared" si="4"/>
        <v>2478.5537246966542</v>
      </c>
      <c r="K65" s="1362">
        <f t="shared" si="5"/>
        <v>-2478.5537246966542</v>
      </c>
      <c r="L65" s="1366">
        <f t="shared" si="6"/>
        <v>0</v>
      </c>
      <c r="M65" s="1366">
        <f t="shared" si="7"/>
        <v>-2478.5537246966542</v>
      </c>
    </row>
    <row r="66" spans="1:13" ht="14.25">
      <c r="A66" s="1186">
        <v>61</v>
      </c>
      <c r="B66" s="1186" t="s">
        <v>959</v>
      </c>
      <c r="C66" s="1351">
        <f>[14]Sheet1!$K65</f>
        <v>0</v>
      </c>
      <c r="D66" s="1351">
        <f>'[16]Final 2-1-12 SIS'!$S71</f>
        <v>0</v>
      </c>
      <c r="E66" s="1352">
        <f t="shared" si="1"/>
        <v>0</v>
      </c>
      <c r="F66" s="1352">
        <f t="shared" si="2"/>
        <v>0</v>
      </c>
      <c r="G66" s="1352">
        <f t="shared" si="3"/>
        <v>0</v>
      </c>
      <c r="H66" s="1353">
        <f>'Table 5C3 - LA Connections  '!D65</f>
        <v>2631.4655293498095</v>
      </c>
      <c r="I66" s="1353">
        <f>'Table 5C3 - LA Connections  '!F65</f>
        <v>750.33899999999994</v>
      </c>
      <c r="J66" s="1353">
        <f t="shared" si="4"/>
        <v>1690.9022646749047</v>
      </c>
      <c r="K66" s="1354">
        <f t="shared" si="5"/>
        <v>0</v>
      </c>
      <c r="L66" s="1365">
        <f t="shared" si="6"/>
        <v>0</v>
      </c>
      <c r="M66" s="1365">
        <f t="shared" si="7"/>
        <v>0</v>
      </c>
    </row>
    <row r="67" spans="1:13" ht="14.25">
      <c r="A67" s="1186">
        <v>62</v>
      </c>
      <c r="B67" s="1186" t="s">
        <v>960</v>
      </c>
      <c r="C67" s="1351">
        <f>[14]Sheet1!$K66</f>
        <v>2</v>
      </c>
      <c r="D67" s="1351">
        <f>'[16]Final 2-1-12 SIS'!$S72</f>
        <v>2</v>
      </c>
      <c r="E67" s="1352">
        <f t="shared" si="1"/>
        <v>0</v>
      </c>
      <c r="F67" s="1352">
        <f t="shared" si="2"/>
        <v>0</v>
      </c>
      <c r="G67" s="1352">
        <f t="shared" si="3"/>
        <v>0</v>
      </c>
      <c r="H67" s="1353">
        <f>'Table 5C3 - LA Connections  '!D66</f>
        <v>4952.451925981527</v>
      </c>
      <c r="I67" s="1353">
        <f>'Table 5C3 - LA Connections  '!F66</f>
        <v>464.47200000000004</v>
      </c>
      <c r="J67" s="1353">
        <f t="shared" si="4"/>
        <v>2708.4619629907634</v>
      </c>
      <c r="K67" s="1354">
        <f t="shared" si="5"/>
        <v>0</v>
      </c>
      <c r="L67" s="1365">
        <f t="shared" si="6"/>
        <v>0</v>
      </c>
      <c r="M67" s="1365">
        <f t="shared" si="7"/>
        <v>0</v>
      </c>
    </row>
    <row r="68" spans="1:13" ht="14.25">
      <c r="A68" s="1186">
        <v>63</v>
      </c>
      <c r="B68" s="1186" t="s">
        <v>961</v>
      </c>
      <c r="C68" s="1355">
        <f>[14]Sheet1!$K67</f>
        <v>6</v>
      </c>
      <c r="D68" s="1355">
        <f>'[16]Final 2-1-12 SIS'!$S73</f>
        <v>6</v>
      </c>
      <c r="E68" s="1352">
        <f t="shared" si="1"/>
        <v>0</v>
      </c>
      <c r="F68" s="1352">
        <f t="shared" si="2"/>
        <v>0</v>
      </c>
      <c r="G68" s="1352">
        <f t="shared" si="3"/>
        <v>0</v>
      </c>
      <c r="H68" s="1356">
        <f>'Table 5C3 - LA Connections  '!D67</f>
        <v>3822.1503336417391</v>
      </c>
      <c r="I68" s="1356">
        <f>'Table 5C3 - LA Connections  '!F67</f>
        <v>681.11099999999999</v>
      </c>
      <c r="J68" s="1356">
        <f t="shared" si="4"/>
        <v>2251.6306668208695</v>
      </c>
      <c r="K68" s="1354">
        <f t="shared" si="5"/>
        <v>0</v>
      </c>
      <c r="L68" s="1365">
        <f t="shared" si="6"/>
        <v>0</v>
      </c>
      <c r="M68" s="1365">
        <f t="shared" si="7"/>
        <v>0</v>
      </c>
    </row>
    <row r="69" spans="1:13" ht="14.25">
      <c r="A69" s="1186">
        <v>64</v>
      </c>
      <c r="B69" s="1186" t="s">
        <v>962</v>
      </c>
      <c r="C69" s="1355">
        <f>[14]Sheet1!$K68</f>
        <v>1</v>
      </c>
      <c r="D69" s="1355">
        <f>'[16]Final 2-1-12 SIS'!$S74</f>
        <v>1</v>
      </c>
      <c r="E69" s="1352">
        <f t="shared" si="1"/>
        <v>0</v>
      </c>
      <c r="F69" s="1352">
        <f t="shared" si="2"/>
        <v>0</v>
      </c>
      <c r="G69" s="1352">
        <f t="shared" si="3"/>
        <v>0</v>
      </c>
      <c r="H69" s="1356">
        <f>'Table 5C3 - LA Connections  '!D68</f>
        <v>5271.286266696583</v>
      </c>
      <c r="I69" s="1356">
        <f>'Table 5C3 - LA Connections  '!F68</f>
        <v>533.39400000000001</v>
      </c>
      <c r="J69" s="1356">
        <f t="shared" si="4"/>
        <v>2902.3401333482916</v>
      </c>
      <c r="K69" s="1354">
        <f t="shared" si="5"/>
        <v>0</v>
      </c>
      <c r="L69" s="1365">
        <f t="shared" si="6"/>
        <v>0</v>
      </c>
      <c r="M69" s="1365">
        <f t="shared" si="7"/>
        <v>0</v>
      </c>
    </row>
    <row r="70" spans="1:13" ht="14.25">
      <c r="A70" s="1192">
        <v>65</v>
      </c>
      <c r="B70" s="1192" t="s">
        <v>963</v>
      </c>
      <c r="C70" s="1358">
        <f>[14]Sheet1!$K69</f>
        <v>0</v>
      </c>
      <c r="D70" s="1358">
        <f>'[16]Final 2-1-12 SIS'!$S75</f>
        <v>0</v>
      </c>
      <c r="E70" s="1359">
        <f t="shared" si="1"/>
        <v>0</v>
      </c>
      <c r="F70" s="1359">
        <f t="shared" si="2"/>
        <v>0</v>
      </c>
      <c r="G70" s="1359">
        <f t="shared" si="3"/>
        <v>0</v>
      </c>
      <c r="H70" s="1361">
        <f>'Table 5C3 - LA Connections  '!D69</f>
        <v>4058.1400565581794</v>
      </c>
      <c r="I70" s="1361">
        <f>'Table 5C3 - LA Connections  '!F69</f>
        <v>746.20799999999997</v>
      </c>
      <c r="J70" s="1361">
        <f t="shared" si="4"/>
        <v>2402.1740282790897</v>
      </c>
      <c r="K70" s="1362">
        <f t="shared" si="5"/>
        <v>0</v>
      </c>
      <c r="L70" s="1366">
        <f t="shared" si="6"/>
        <v>0</v>
      </c>
      <c r="M70" s="1366">
        <f t="shared" si="7"/>
        <v>0</v>
      </c>
    </row>
    <row r="71" spans="1:13" ht="14.25">
      <c r="A71" s="1197">
        <v>66</v>
      </c>
      <c r="B71" s="1197" t="s">
        <v>964</v>
      </c>
      <c r="C71" s="1355">
        <f>[14]Sheet1!$K70</f>
        <v>0</v>
      </c>
      <c r="D71" s="1355">
        <f>'[16]Final 2-1-12 SIS'!$S76</f>
        <v>0</v>
      </c>
      <c r="E71" s="1352">
        <f t="shared" ref="E71:E74" si="8">D71-C71</f>
        <v>0</v>
      </c>
      <c r="F71" s="1352">
        <f>IF(E71&gt;0,E71,0)</f>
        <v>0</v>
      </c>
      <c r="G71" s="1352">
        <f>IF(E71&lt;0,E71,0)</f>
        <v>0</v>
      </c>
      <c r="H71" s="1356">
        <f>'Table 5C3 - LA Connections  '!D70</f>
        <v>5548.4334996842617</v>
      </c>
      <c r="I71" s="1356">
        <f>'Table 5C3 - LA Connections  '!F70</f>
        <v>657.05399999999997</v>
      </c>
      <c r="J71" s="1356">
        <f t="shared" ref="J71:J74" si="9">(I71+H71)*0.5</f>
        <v>3102.7437498421309</v>
      </c>
      <c r="K71" s="1354">
        <f>E71*J71</f>
        <v>0</v>
      </c>
      <c r="L71" s="1365">
        <f>IF(K71&gt;0,K71,0)</f>
        <v>0</v>
      </c>
      <c r="M71" s="1365">
        <f>IF(K71&lt;0,K71,0)</f>
        <v>0</v>
      </c>
    </row>
    <row r="72" spans="1:13" ht="14.25">
      <c r="A72" s="1186">
        <v>67</v>
      </c>
      <c r="B72" s="1186" t="s">
        <v>965</v>
      </c>
      <c r="C72" s="1351">
        <f>[14]Sheet1!$K71</f>
        <v>4</v>
      </c>
      <c r="D72" s="1351">
        <f>'[16]Final 2-1-12 SIS'!$S77</f>
        <v>3</v>
      </c>
      <c r="E72" s="1352">
        <f t="shared" si="8"/>
        <v>-1</v>
      </c>
      <c r="F72" s="1352">
        <f>IF(E72&gt;0,E72,0)</f>
        <v>0</v>
      </c>
      <c r="G72" s="1352">
        <f>IF(E72&lt;0,E72,0)</f>
        <v>-1</v>
      </c>
      <c r="H72" s="1353">
        <f>'Table 5C3 - LA Connections  '!D71</f>
        <v>4497.9714675875975</v>
      </c>
      <c r="I72" s="1353">
        <f>'Table 5C3 - LA Connections  '!F71</f>
        <v>644.04899999999998</v>
      </c>
      <c r="J72" s="1353">
        <f t="shared" si="9"/>
        <v>2571.0102337937988</v>
      </c>
      <c r="K72" s="1354">
        <f>E72*J72</f>
        <v>-2571.0102337937988</v>
      </c>
      <c r="L72" s="1365">
        <f>IF(K72&gt;0,K72,0)</f>
        <v>0</v>
      </c>
      <c r="M72" s="1365">
        <f>IF(K72&lt;0,K72,0)</f>
        <v>-2571.0102337937988</v>
      </c>
    </row>
    <row r="73" spans="1:13" ht="14.25">
      <c r="A73" s="1186">
        <v>68</v>
      </c>
      <c r="B73" s="1186" t="s">
        <v>966</v>
      </c>
      <c r="C73" s="1351">
        <f>[14]Sheet1!$K72</f>
        <v>3</v>
      </c>
      <c r="D73" s="1351">
        <f>'[16]Final 2-1-12 SIS'!$S78</f>
        <v>0</v>
      </c>
      <c r="E73" s="1352">
        <f t="shared" si="8"/>
        <v>-3</v>
      </c>
      <c r="F73" s="1352">
        <f>IF(E73&gt;0,E73,0)</f>
        <v>0</v>
      </c>
      <c r="G73" s="1352">
        <f>IF(E73&lt;0,E73,0)</f>
        <v>-3</v>
      </c>
      <c r="H73" s="1353">
        <f>'Table 5C3 - LA Connections  '!D72</f>
        <v>5271.2040456958403</v>
      </c>
      <c r="I73" s="1353">
        <f>'Table 5C3 - LA Connections  '!F72</f>
        <v>718.83</v>
      </c>
      <c r="J73" s="1353">
        <f t="shared" si="9"/>
        <v>2995.0170228479201</v>
      </c>
      <c r="K73" s="1354">
        <f>E73*J73</f>
        <v>-8985.0510685437603</v>
      </c>
      <c r="L73" s="1365">
        <f>IF(K73&gt;0,K73,0)</f>
        <v>0</v>
      </c>
      <c r="M73" s="1365">
        <f>IF(K73&lt;0,K73,0)</f>
        <v>-8985.0510685437603</v>
      </c>
    </row>
    <row r="74" spans="1:13" ht="14.25">
      <c r="A74" s="1213">
        <v>69</v>
      </c>
      <c r="B74" s="1199" t="s">
        <v>967</v>
      </c>
      <c r="C74" s="1351">
        <f>[14]Sheet1!$K73</f>
        <v>0</v>
      </c>
      <c r="D74" s="1351">
        <f>'[16]Final 2-1-12 SIS'!$S79</f>
        <v>0</v>
      </c>
      <c r="E74" s="1352">
        <f t="shared" si="8"/>
        <v>0</v>
      </c>
      <c r="F74" s="1352">
        <f>IF(E74&gt;0,E74,0)</f>
        <v>0</v>
      </c>
      <c r="G74" s="1352">
        <f>IF(E74&lt;0,E74,0)</f>
        <v>0</v>
      </c>
      <c r="H74" s="1353">
        <f>'Table 5C3 - LA Connections  '!D73</f>
        <v>4943.9917793963914</v>
      </c>
      <c r="I74" s="1353">
        <f>'Table 5C3 - LA Connections  '!F73</f>
        <v>635.10299999999995</v>
      </c>
      <c r="J74" s="1353">
        <f t="shared" si="9"/>
        <v>2789.5473896981957</v>
      </c>
      <c r="K74" s="1354">
        <f>E74*J74</f>
        <v>0</v>
      </c>
      <c r="L74" s="1365">
        <f>IF(K74&gt;0,K74,0)</f>
        <v>0</v>
      </c>
      <c r="M74" s="1365">
        <f>IF(K74&lt;0,K74,0)</f>
        <v>0</v>
      </c>
    </row>
    <row r="75" spans="1:13" s="1204" customFormat="1" ht="15.75" thickBot="1">
      <c r="A75" s="1369"/>
      <c r="B75" s="1201" t="s">
        <v>1154</v>
      </c>
      <c r="C75" s="1370">
        <f t="shared" ref="C75:M75" si="10">SUM(C6:C74)</f>
        <v>597</v>
      </c>
      <c r="D75" s="1370">
        <f>SUM(D6:D74)</f>
        <v>594</v>
      </c>
      <c r="E75" s="1370">
        <f t="shared" si="10"/>
        <v>-3</v>
      </c>
      <c r="F75" s="1370">
        <f t="shared" si="10"/>
        <v>47</v>
      </c>
      <c r="G75" s="1370">
        <f t="shared" si="10"/>
        <v>-50</v>
      </c>
      <c r="H75" s="1371"/>
      <c r="I75" s="1371"/>
      <c r="J75" s="1371"/>
      <c r="K75" s="1371">
        <f t="shared" si="10"/>
        <v>-4090.3737340866901</v>
      </c>
      <c r="L75" s="1371">
        <f t="shared" si="10"/>
        <v>113225.39772424308</v>
      </c>
      <c r="M75" s="1371">
        <f t="shared" si="10"/>
        <v>-117315.77145832978</v>
      </c>
    </row>
    <row r="76" spans="1:13" ht="13.5" thickTop="1"/>
  </sheetData>
  <mergeCells count="13">
    <mergeCell ref="F2:F3"/>
    <mergeCell ref="A2:A3"/>
    <mergeCell ref="B2:B3"/>
    <mergeCell ref="C2:C3"/>
    <mergeCell ref="D2:D3"/>
    <mergeCell ref="E2:E3"/>
    <mergeCell ref="M2:M3"/>
    <mergeCell ref="G2:G3"/>
    <mergeCell ref="H2:H3"/>
    <mergeCell ref="I2:I3"/>
    <mergeCell ref="J2:J3"/>
    <mergeCell ref="K2:K3"/>
    <mergeCell ref="L2:L3"/>
  </mergeCells>
  <pageMargins left="0.38" right="0.45" top="0.75" bottom="0.75" header="0.3" footer="0.3"/>
  <pageSetup paperSize="5" scale="43" orientation="portrait" r:id="rId1"/>
  <headerFooter>
    <oddHeader>&amp;L&amp;"Arial,Bold"&amp;24FY2011-12 MFP Budget Letter: February 1 Mid-year Adjustment for Students</oddHeader>
    <oddFooter>&amp;L&amp;Z&amp;F</oddFooter>
  </headerFooter>
</worksheet>
</file>

<file path=xl/worksheets/sheet26.xml><?xml version="1.0" encoding="utf-8"?>
<worksheet xmlns="http://schemas.openxmlformats.org/spreadsheetml/2006/main" xmlns:r="http://schemas.openxmlformats.org/officeDocument/2006/relationships">
  <dimension ref="A1:K76"/>
  <sheetViews>
    <sheetView view="pageBreakPreview" zoomScale="90" zoomScaleNormal="100" zoomScaleSheetLayoutView="90" workbookViewId="0"/>
  </sheetViews>
  <sheetFormatPr defaultRowHeight="16.5" customHeight="1"/>
  <cols>
    <col min="1" max="1" width="5.5703125" style="1181" customWidth="1"/>
    <col min="2" max="2" width="61.28515625" style="1181" customWidth="1"/>
    <col min="3" max="3" width="13.7109375" style="1181" customWidth="1"/>
    <col min="4" max="4" width="13.28515625" style="1181" customWidth="1"/>
    <col min="5" max="5" width="15.140625" style="1181" customWidth="1"/>
    <col min="6" max="6" width="11.7109375" style="1181" customWidth="1"/>
    <col min="7" max="7" width="11.85546875" style="1181" customWidth="1"/>
    <col min="8" max="8" width="13.140625" style="1465" customWidth="1"/>
    <col min="9" max="9" width="16.85546875" style="1465" customWidth="1"/>
    <col min="10" max="10" width="15.7109375" style="1181" customWidth="1"/>
    <col min="11" max="11" width="16.7109375" style="1181" customWidth="1"/>
    <col min="12" max="254" width="9.140625" style="1181"/>
    <col min="255" max="255" width="4.42578125" style="1181" customWidth="1"/>
    <col min="256" max="256" width="46.85546875" style="1181" customWidth="1"/>
    <col min="257" max="257" width="11.28515625" style="1181" bestFit="1" customWidth="1"/>
    <col min="258" max="258" width="11.42578125" style="1181" bestFit="1" customWidth="1"/>
    <col min="259" max="259" width="11.85546875" style="1181" customWidth="1"/>
    <col min="260" max="260" width="10" style="1181" customWidth="1"/>
    <col min="261" max="261" width="11.140625" style="1181" customWidth="1"/>
    <col min="262" max="262" width="10.28515625" style="1181" bestFit="1" customWidth="1"/>
    <col min="263" max="263" width="10.140625" style="1181" bestFit="1" customWidth="1"/>
    <col min="264" max="264" width="12" style="1181" bestFit="1" customWidth="1"/>
    <col min="265" max="265" width="14.28515625" style="1181" bestFit="1" customWidth="1"/>
    <col min="266" max="266" width="13.5703125" style="1181" bestFit="1" customWidth="1"/>
    <col min="267" max="267" width="13.85546875" style="1181" bestFit="1" customWidth="1"/>
    <col min="268" max="510" width="9.140625" style="1181"/>
    <col min="511" max="511" width="4.42578125" style="1181" customWidth="1"/>
    <col min="512" max="512" width="46.85546875" style="1181" customWidth="1"/>
    <col min="513" max="513" width="11.28515625" style="1181" bestFit="1" customWidth="1"/>
    <col min="514" max="514" width="11.42578125" style="1181" bestFit="1" customWidth="1"/>
    <col min="515" max="515" width="11.85546875" style="1181" customWidth="1"/>
    <col min="516" max="516" width="10" style="1181" customWidth="1"/>
    <col min="517" max="517" width="11.140625" style="1181" customWidth="1"/>
    <col min="518" max="518" width="10.28515625" style="1181" bestFit="1" customWidth="1"/>
    <col min="519" max="519" width="10.140625" style="1181" bestFit="1" customWidth="1"/>
    <col min="520" max="520" width="12" style="1181" bestFit="1" customWidth="1"/>
    <col min="521" max="521" width="14.28515625" style="1181" bestFit="1" customWidth="1"/>
    <col min="522" max="522" width="13.5703125" style="1181" bestFit="1" customWidth="1"/>
    <col min="523" max="523" width="13.85546875" style="1181" bestFit="1" customWidth="1"/>
    <col min="524" max="766" width="9.140625" style="1181"/>
    <col min="767" max="767" width="4.42578125" style="1181" customWidth="1"/>
    <col min="768" max="768" width="46.85546875" style="1181" customWidth="1"/>
    <col min="769" max="769" width="11.28515625" style="1181" bestFit="1" customWidth="1"/>
    <col min="770" max="770" width="11.42578125" style="1181" bestFit="1" customWidth="1"/>
    <col min="771" max="771" width="11.85546875" style="1181" customWidth="1"/>
    <col min="772" max="772" width="10" style="1181" customWidth="1"/>
    <col min="773" max="773" width="11.140625" style="1181" customWidth="1"/>
    <col min="774" max="774" width="10.28515625" style="1181" bestFit="1" customWidth="1"/>
    <col min="775" max="775" width="10.140625" style="1181" bestFit="1" customWidth="1"/>
    <col min="776" max="776" width="12" style="1181" bestFit="1" customWidth="1"/>
    <col min="777" max="777" width="14.28515625" style="1181" bestFit="1" customWidth="1"/>
    <col min="778" max="778" width="13.5703125" style="1181" bestFit="1" customWidth="1"/>
    <col min="779" max="779" width="13.85546875" style="1181" bestFit="1" customWidth="1"/>
    <col min="780" max="1022" width="9.140625" style="1181"/>
    <col min="1023" max="1023" width="4.42578125" style="1181" customWidth="1"/>
    <col min="1024" max="1024" width="46.85546875" style="1181" customWidth="1"/>
    <col min="1025" max="1025" width="11.28515625" style="1181" bestFit="1" customWidth="1"/>
    <col min="1026" max="1026" width="11.42578125" style="1181" bestFit="1" customWidth="1"/>
    <col min="1027" max="1027" width="11.85546875" style="1181" customWidth="1"/>
    <col min="1028" max="1028" width="10" style="1181" customWidth="1"/>
    <col min="1029" max="1029" width="11.140625" style="1181" customWidth="1"/>
    <col min="1030" max="1030" width="10.28515625" style="1181" bestFit="1" customWidth="1"/>
    <col min="1031" max="1031" width="10.140625" style="1181" bestFit="1" customWidth="1"/>
    <col min="1032" max="1032" width="12" style="1181" bestFit="1" customWidth="1"/>
    <col min="1033" max="1033" width="14.28515625" style="1181" bestFit="1" customWidth="1"/>
    <col min="1034" max="1034" width="13.5703125" style="1181" bestFit="1" customWidth="1"/>
    <col min="1035" max="1035" width="13.85546875" style="1181" bestFit="1" customWidth="1"/>
    <col min="1036" max="1278" width="9.140625" style="1181"/>
    <col min="1279" max="1279" width="4.42578125" style="1181" customWidth="1"/>
    <col min="1280" max="1280" width="46.85546875" style="1181" customWidth="1"/>
    <col min="1281" max="1281" width="11.28515625" style="1181" bestFit="1" customWidth="1"/>
    <col min="1282" max="1282" width="11.42578125" style="1181" bestFit="1" customWidth="1"/>
    <col min="1283" max="1283" width="11.85546875" style="1181" customWidth="1"/>
    <col min="1284" max="1284" width="10" style="1181" customWidth="1"/>
    <col min="1285" max="1285" width="11.140625" style="1181" customWidth="1"/>
    <col min="1286" max="1286" width="10.28515625" style="1181" bestFit="1" customWidth="1"/>
    <col min="1287" max="1287" width="10.140625" style="1181" bestFit="1" customWidth="1"/>
    <col min="1288" max="1288" width="12" style="1181" bestFit="1" customWidth="1"/>
    <col min="1289" max="1289" width="14.28515625" style="1181" bestFit="1" customWidth="1"/>
    <col min="1290" max="1290" width="13.5703125" style="1181" bestFit="1" customWidth="1"/>
    <col min="1291" max="1291" width="13.85546875" style="1181" bestFit="1" customWidth="1"/>
    <col min="1292" max="1534" width="9.140625" style="1181"/>
    <col min="1535" max="1535" width="4.42578125" style="1181" customWidth="1"/>
    <col min="1536" max="1536" width="46.85546875" style="1181" customWidth="1"/>
    <col min="1537" max="1537" width="11.28515625" style="1181" bestFit="1" customWidth="1"/>
    <col min="1538" max="1538" width="11.42578125" style="1181" bestFit="1" customWidth="1"/>
    <col min="1539" max="1539" width="11.85546875" style="1181" customWidth="1"/>
    <col min="1540" max="1540" width="10" style="1181" customWidth="1"/>
    <col min="1541" max="1541" width="11.140625" style="1181" customWidth="1"/>
    <col min="1542" max="1542" width="10.28515625" style="1181" bestFit="1" customWidth="1"/>
    <col min="1543" max="1543" width="10.140625" style="1181" bestFit="1" customWidth="1"/>
    <col min="1544" max="1544" width="12" style="1181" bestFit="1" customWidth="1"/>
    <col min="1545" max="1545" width="14.28515625" style="1181" bestFit="1" customWidth="1"/>
    <col min="1546" max="1546" width="13.5703125" style="1181" bestFit="1" customWidth="1"/>
    <col min="1547" max="1547" width="13.85546875" style="1181" bestFit="1" customWidth="1"/>
    <col min="1548" max="1790" width="9.140625" style="1181"/>
    <col min="1791" max="1791" width="4.42578125" style="1181" customWidth="1"/>
    <col min="1792" max="1792" width="46.85546875" style="1181" customWidth="1"/>
    <col min="1793" max="1793" width="11.28515625" style="1181" bestFit="1" customWidth="1"/>
    <col min="1794" max="1794" width="11.42578125" style="1181" bestFit="1" customWidth="1"/>
    <col min="1795" max="1795" width="11.85546875" style="1181" customWidth="1"/>
    <col min="1796" max="1796" width="10" style="1181" customWidth="1"/>
    <col min="1797" max="1797" width="11.140625" style="1181" customWidth="1"/>
    <col min="1798" max="1798" width="10.28515625" style="1181" bestFit="1" customWidth="1"/>
    <col min="1799" max="1799" width="10.140625" style="1181" bestFit="1" customWidth="1"/>
    <col min="1800" max="1800" width="12" style="1181" bestFit="1" customWidth="1"/>
    <col min="1801" max="1801" width="14.28515625" style="1181" bestFit="1" customWidth="1"/>
    <col min="1802" max="1802" width="13.5703125" style="1181" bestFit="1" customWidth="1"/>
    <col min="1803" max="1803" width="13.85546875" style="1181" bestFit="1" customWidth="1"/>
    <col min="1804" max="2046" width="9.140625" style="1181"/>
    <col min="2047" max="2047" width="4.42578125" style="1181" customWidth="1"/>
    <col min="2048" max="2048" width="46.85546875" style="1181" customWidth="1"/>
    <col min="2049" max="2049" width="11.28515625" style="1181" bestFit="1" customWidth="1"/>
    <col min="2050" max="2050" width="11.42578125" style="1181" bestFit="1" customWidth="1"/>
    <col min="2051" max="2051" width="11.85546875" style="1181" customWidth="1"/>
    <col min="2052" max="2052" width="10" style="1181" customWidth="1"/>
    <col min="2053" max="2053" width="11.140625" style="1181" customWidth="1"/>
    <col min="2054" max="2054" width="10.28515625" style="1181" bestFit="1" customWidth="1"/>
    <col min="2055" max="2055" width="10.140625" style="1181" bestFit="1" customWidth="1"/>
    <col min="2056" max="2056" width="12" style="1181" bestFit="1" customWidth="1"/>
    <col min="2057" max="2057" width="14.28515625" style="1181" bestFit="1" customWidth="1"/>
    <col min="2058" max="2058" width="13.5703125" style="1181" bestFit="1" customWidth="1"/>
    <col min="2059" max="2059" width="13.85546875" style="1181" bestFit="1" customWidth="1"/>
    <col min="2060" max="2302" width="9.140625" style="1181"/>
    <col min="2303" max="2303" width="4.42578125" style="1181" customWidth="1"/>
    <col min="2304" max="2304" width="46.85546875" style="1181" customWidth="1"/>
    <col min="2305" max="2305" width="11.28515625" style="1181" bestFit="1" customWidth="1"/>
    <col min="2306" max="2306" width="11.42578125" style="1181" bestFit="1" customWidth="1"/>
    <col min="2307" max="2307" width="11.85546875" style="1181" customWidth="1"/>
    <col min="2308" max="2308" width="10" style="1181" customWidth="1"/>
    <col min="2309" max="2309" width="11.140625" style="1181" customWidth="1"/>
    <col min="2310" max="2310" width="10.28515625" style="1181" bestFit="1" customWidth="1"/>
    <col min="2311" max="2311" width="10.140625" style="1181" bestFit="1" customWidth="1"/>
    <col min="2312" max="2312" width="12" style="1181" bestFit="1" customWidth="1"/>
    <col min="2313" max="2313" width="14.28515625" style="1181" bestFit="1" customWidth="1"/>
    <col min="2314" max="2314" width="13.5703125" style="1181" bestFit="1" customWidth="1"/>
    <col min="2315" max="2315" width="13.85546875" style="1181" bestFit="1" customWidth="1"/>
    <col min="2316" max="2558" width="9.140625" style="1181"/>
    <col min="2559" max="2559" width="4.42578125" style="1181" customWidth="1"/>
    <col min="2560" max="2560" width="46.85546875" style="1181" customWidth="1"/>
    <col min="2561" max="2561" width="11.28515625" style="1181" bestFit="1" customWidth="1"/>
    <col min="2562" max="2562" width="11.42578125" style="1181" bestFit="1" customWidth="1"/>
    <col min="2563" max="2563" width="11.85546875" style="1181" customWidth="1"/>
    <col min="2564" max="2564" width="10" style="1181" customWidth="1"/>
    <col min="2565" max="2565" width="11.140625" style="1181" customWidth="1"/>
    <col min="2566" max="2566" width="10.28515625" style="1181" bestFit="1" customWidth="1"/>
    <col min="2567" max="2567" width="10.140625" style="1181" bestFit="1" customWidth="1"/>
    <col min="2568" max="2568" width="12" style="1181" bestFit="1" customWidth="1"/>
    <col min="2569" max="2569" width="14.28515625" style="1181" bestFit="1" customWidth="1"/>
    <col min="2570" max="2570" width="13.5703125" style="1181" bestFit="1" customWidth="1"/>
    <col min="2571" max="2571" width="13.85546875" style="1181" bestFit="1" customWidth="1"/>
    <col min="2572" max="2814" width="9.140625" style="1181"/>
    <col min="2815" max="2815" width="4.42578125" style="1181" customWidth="1"/>
    <col min="2816" max="2816" width="46.85546875" style="1181" customWidth="1"/>
    <col min="2817" max="2817" width="11.28515625" style="1181" bestFit="1" customWidth="1"/>
    <col min="2818" max="2818" width="11.42578125" style="1181" bestFit="1" customWidth="1"/>
    <col min="2819" max="2819" width="11.85546875" style="1181" customWidth="1"/>
    <col min="2820" max="2820" width="10" style="1181" customWidth="1"/>
    <col min="2821" max="2821" width="11.140625" style="1181" customWidth="1"/>
    <col min="2822" max="2822" width="10.28515625" style="1181" bestFit="1" customWidth="1"/>
    <col min="2823" max="2823" width="10.140625" style="1181" bestFit="1" customWidth="1"/>
    <col min="2824" max="2824" width="12" style="1181" bestFit="1" customWidth="1"/>
    <col min="2825" max="2825" width="14.28515625" style="1181" bestFit="1" customWidth="1"/>
    <col min="2826" max="2826" width="13.5703125" style="1181" bestFit="1" customWidth="1"/>
    <col min="2827" max="2827" width="13.85546875" style="1181" bestFit="1" customWidth="1"/>
    <col min="2828" max="3070" width="9.140625" style="1181"/>
    <col min="3071" max="3071" width="4.42578125" style="1181" customWidth="1"/>
    <col min="3072" max="3072" width="46.85546875" style="1181" customWidth="1"/>
    <col min="3073" max="3073" width="11.28515625" style="1181" bestFit="1" customWidth="1"/>
    <col min="3074" max="3074" width="11.42578125" style="1181" bestFit="1" customWidth="1"/>
    <col min="3075" max="3075" width="11.85546875" style="1181" customWidth="1"/>
    <col min="3076" max="3076" width="10" style="1181" customWidth="1"/>
    <col min="3077" max="3077" width="11.140625" style="1181" customWidth="1"/>
    <col min="3078" max="3078" width="10.28515625" style="1181" bestFit="1" customWidth="1"/>
    <col min="3079" max="3079" width="10.140625" style="1181" bestFit="1" customWidth="1"/>
    <col min="3080" max="3080" width="12" style="1181" bestFit="1" customWidth="1"/>
    <col min="3081" max="3081" width="14.28515625" style="1181" bestFit="1" customWidth="1"/>
    <col min="3082" max="3082" width="13.5703125" style="1181" bestFit="1" customWidth="1"/>
    <col min="3083" max="3083" width="13.85546875" style="1181" bestFit="1" customWidth="1"/>
    <col min="3084" max="3326" width="9.140625" style="1181"/>
    <col min="3327" max="3327" width="4.42578125" style="1181" customWidth="1"/>
    <col min="3328" max="3328" width="46.85546875" style="1181" customWidth="1"/>
    <col min="3329" max="3329" width="11.28515625" style="1181" bestFit="1" customWidth="1"/>
    <col min="3330" max="3330" width="11.42578125" style="1181" bestFit="1" customWidth="1"/>
    <col min="3331" max="3331" width="11.85546875" style="1181" customWidth="1"/>
    <col min="3332" max="3332" width="10" style="1181" customWidth="1"/>
    <col min="3333" max="3333" width="11.140625" style="1181" customWidth="1"/>
    <col min="3334" max="3334" width="10.28515625" style="1181" bestFit="1" customWidth="1"/>
    <col min="3335" max="3335" width="10.140625" style="1181" bestFit="1" customWidth="1"/>
    <col min="3336" max="3336" width="12" style="1181" bestFit="1" customWidth="1"/>
    <col min="3337" max="3337" width="14.28515625" style="1181" bestFit="1" customWidth="1"/>
    <col min="3338" max="3338" width="13.5703125" style="1181" bestFit="1" customWidth="1"/>
    <col min="3339" max="3339" width="13.85546875" style="1181" bestFit="1" customWidth="1"/>
    <col min="3340" max="3582" width="9.140625" style="1181"/>
    <col min="3583" max="3583" width="4.42578125" style="1181" customWidth="1"/>
    <col min="3584" max="3584" width="46.85546875" style="1181" customWidth="1"/>
    <col min="3585" max="3585" width="11.28515625" style="1181" bestFit="1" customWidth="1"/>
    <col min="3586" max="3586" width="11.42578125" style="1181" bestFit="1" customWidth="1"/>
    <col min="3587" max="3587" width="11.85546875" style="1181" customWidth="1"/>
    <col min="3588" max="3588" width="10" style="1181" customWidth="1"/>
    <col min="3589" max="3589" width="11.140625" style="1181" customWidth="1"/>
    <col min="3590" max="3590" width="10.28515625" style="1181" bestFit="1" customWidth="1"/>
    <col min="3591" max="3591" width="10.140625" style="1181" bestFit="1" customWidth="1"/>
    <col min="3592" max="3592" width="12" style="1181" bestFit="1" customWidth="1"/>
    <col min="3593" max="3593" width="14.28515625" style="1181" bestFit="1" customWidth="1"/>
    <col min="3594" max="3594" width="13.5703125" style="1181" bestFit="1" customWidth="1"/>
    <col min="3595" max="3595" width="13.85546875" style="1181" bestFit="1" customWidth="1"/>
    <col min="3596" max="3838" width="9.140625" style="1181"/>
    <col min="3839" max="3839" width="4.42578125" style="1181" customWidth="1"/>
    <col min="3840" max="3840" width="46.85546875" style="1181" customWidth="1"/>
    <col min="3841" max="3841" width="11.28515625" style="1181" bestFit="1" customWidth="1"/>
    <col min="3842" max="3842" width="11.42578125" style="1181" bestFit="1" customWidth="1"/>
    <col min="3843" max="3843" width="11.85546875" style="1181" customWidth="1"/>
    <col min="3844" max="3844" width="10" style="1181" customWidth="1"/>
    <col min="3845" max="3845" width="11.140625" style="1181" customWidth="1"/>
    <col min="3846" max="3846" width="10.28515625" style="1181" bestFit="1" customWidth="1"/>
    <col min="3847" max="3847" width="10.140625" style="1181" bestFit="1" customWidth="1"/>
    <col min="3848" max="3848" width="12" style="1181" bestFit="1" customWidth="1"/>
    <col min="3849" max="3849" width="14.28515625" style="1181" bestFit="1" customWidth="1"/>
    <col min="3850" max="3850" width="13.5703125" style="1181" bestFit="1" customWidth="1"/>
    <col min="3851" max="3851" width="13.85546875" style="1181" bestFit="1" customWidth="1"/>
    <col min="3852" max="4094" width="9.140625" style="1181"/>
    <col min="4095" max="4095" width="4.42578125" style="1181" customWidth="1"/>
    <col min="4096" max="4096" width="46.85546875" style="1181" customWidth="1"/>
    <col min="4097" max="4097" width="11.28515625" style="1181" bestFit="1" customWidth="1"/>
    <col min="4098" max="4098" width="11.42578125" style="1181" bestFit="1" customWidth="1"/>
    <col min="4099" max="4099" width="11.85546875" style="1181" customWidth="1"/>
    <col min="4100" max="4100" width="10" style="1181" customWidth="1"/>
    <col min="4101" max="4101" width="11.140625" style="1181" customWidth="1"/>
    <col min="4102" max="4102" width="10.28515625" style="1181" bestFit="1" customWidth="1"/>
    <col min="4103" max="4103" width="10.140625" style="1181" bestFit="1" customWidth="1"/>
    <col min="4104" max="4104" width="12" style="1181" bestFit="1" customWidth="1"/>
    <col min="4105" max="4105" width="14.28515625" style="1181" bestFit="1" customWidth="1"/>
    <col min="4106" max="4106" width="13.5703125" style="1181" bestFit="1" customWidth="1"/>
    <col min="4107" max="4107" width="13.85546875" style="1181" bestFit="1" customWidth="1"/>
    <col min="4108" max="4350" width="9.140625" style="1181"/>
    <col min="4351" max="4351" width="4.42578125" style="1181" customWidth="1"/>
    <col min="4352" max="4352" width="46.85546875" style="1181" customWidth="1"/>
    <col min="4353" max="4353" width="11.28515625" style="1181" bestFit="1" customWidth="1"/>
    <col min="4354" max="4354" width="11.42578125" style="1181" bestFit="1" customWidth="1"/>
    <col min="4355" max="4355" width="11.85546875" style="1181" customWidth="1"/>
    <col min="4356" max="4356" width="10" style="1181" customWidth="1"/>
    <col min="4357" max="4357" width="11.140625" style="1181" customWidth="1"/>
    <col min="4358" max="4358" width="10.28515625" style="1181" bestFit="1" customWidth="1"/>
    <col min="4359" max="4359" width="10.140625" style="1181" bestFit="1" customWidth="1"/>
    <col min="4360" max="4360" width="12" style="1181" bestFit="1" customWidth="1"/>
    <col min="4361" max="4361" width="14.28515625" style="1181" bestFit="1" customWidth="1"/>
    <col min="4362" max="4362" width="13.5703125" style="1181" bestFit="1" customWidth="1"/>
    <col min="4363" max="4363" width="13.85546875" style="1181" bestFit="1" customWidth="1"/>
    <col min="4364" max="4606" width="9.140625" style="1181"/>
    <col min="4607" max="4607" width="4.42578125" style="1181" customWidth="1"/>
    <col min="4608" max="4608" width="46.85546875" style="1181" customWidth="1"/>
    <col min="4609" max="4609" width="11.28515625" style="1181" bestFit="1" customWidth="1"/>
    <col min="4610" max="4610" width="11.42578125" style="1181" bestFit="1" customWidth="1"/>
    <col min="4611" max="4611" width="11.85546875" style="1181" customWidth="1"/>
    <col min="4612" max="4612" width="10" style="1181" customWidth="1"/>
    <col min="4613" max="4613" width="11.140625" style="1181" customWidth="1"/>
    <col min="4614" max="4614" width="10.28515625" style="1181" bestFit="1" customWidth="1"/>
    <col min="4615" max="4615" width="10.140625" style="1181" bestFit="1" customWidth="1"/>
    <col min="4616" max="4616" width="12" style="1181" bestFit="1" customWidth="1"/>
    <col min="4617" max="4617" width="14.28515625" style="1181" bestFit="1" customWidth="1"/>
    <col min="4618" max="4618" width="13.5703125" style="1181" bestFit="1" customWidth="1"/>
    <col min="4619" max="4619" width="13.85546875" style="1181" bestFit="1" customWidth="1"/>
    <col min="4620" max="4862" width="9.140625" style="1181"/>
    <col min="4863" max="4863" width="4.42578125" style="1181" customWidth="1"/>
    <col min="4864" max="4864" width="46.85546875" style="1181" customWidth="1"/>
    <col min="4865" max="4865" width="11.28515625" style="1181" bestFit="1" customWidth="1"/>
    <col min="4866" max="4866" width="11.42578125" style="1181" bestFit="1" customWidth="1"/>
    <col min="4867" max="4867" width="11.85546875" style="1181" customWidth="1"/>
    <col min="4868" max="4868" width="10" style="1181" customWidth="1"/>
    <col min="4869" max="4869" width="11.140625" style="1181" customWidth="1"/>
    <col min="4870" max="4870" width="10.28515625" style="1181" bestFit="1" customWidth="1"/>
    <col min="4871" max="4871" width="10.140625" style="1181" bestFit="1" customWidth="1"/>
    <col min="4872" max="4872" width="12" style="1181" bestFit="1" customWidth="1"/>
    <col min="4873" max="4873" width="14.28515625" style="1181" bestFit="1" customWidth="1"/>
    <col min="4874" max="4874" width="13.5703125" style="1181" bestFit="1" customWidth="1"/>
    <col min="4875" max="4875" width="13.85546875" style="1181" bestFit="1" customWidth="1"/>
    <col min="4876" max="5118" width="9.140625" style="1181"/>
    <col min="5119" max="5119" width="4.42578125" style="1181" customWidth="1"/>
    <col min="5120" max="5120" width="46.85546875" style="1181" customWidth="1"/>
    <col min="5121" max="5121" width="11.28515625" style="1181" bestFit="1" customWidth="1"/>
    <col min="5122" max="5122" width="11.42578125" style="1181" bestFit="1" customWidth="1"/>
    <col min="5123" max="5123" width="11.85546875" style="1181" customWidth="1"/>
    <col min="5124" max="5124" width="10" style="1181" customWidth="1"/>
    <col min="5125" max="5125" width="11.140625" style="1181" customWidth="1"/>
    <col min="5126" max="5126" width="10.28515625" style="1181" bestFit="1" customWidth="1"/>
    <col min="5127" max="5127" width="10.140625" style="1181" bestFit="1" customWidth="1"/>
    <col min="5128" max="5128" width="12" style="1181" bestFit="1" customWidth="1"/>
    <col min="5129" max="5129" width="14.28515625" style="1181" bestFit="1" customWidth="1"/>
    <col min="5130" max="5130" width="13.5703125" style="1181" bestFit="1" customWidth="1"/>
    <col min="5131" max="5131" width="13.85546875" style="1181" bestFit="1" customWidth="1"/>
    <col min="5132" max="5374" width="9.140625" style="1181"/>
    <col min="5375" max="5375" width="4.42578125" style="1181" customWidth="1"/>
    <col min="5376" max="5376" width="46.85546875" style="1181" customWidth="1"/>
    <col min="5377" max="5377" width="11.28515625" style="1181" bestFit="1" customWidth="1"/>
    <col min="5378" max="5378" width="11.42578125" style="1181" bestFit="1" customWidth="1"/>
    <col min="5379" max="5379" width="11.85546875" style="1181" customWidth="1"/>
    <col min="5380" max="5380" width="10" style="1181" customWidth="1"/>
    <col min="5381" max="5381" width="11.140625" style="1181" customWidth="1"/>
    <col min="5382" max="5382" width="10.28515625" style="1181" bestFit="1" customWidth="1"/>
    <col min="5383" max="5383" width="10.140625" style="1181" bestFit="1" customWidth="1"/>
    <col min="5384" max="5384" width="12" style="1181" bestFit="1" customWidth="1"/>
    <col min="5385" max="5385" width="14.28515625" style="1181" bestFit="1" customWidth="1"/>
    <col min="5386" max="5386" width="13.5703125" style="1181" bestFit="1" customWidth="1"/>
    <col min="5387" max="5387" width="13.85546875" style="1181" bestFit="1" customWidth="1"/>
    <col min="5388" max="5630" width="9.140625" style="1181"/>
    <col min="5631" max="5631" width="4.42578125" style="1181" customWidth="1"/>
    <col min="5632" max="5632" width="46.85546875" style="1181" customWidth="1"/>
    <col min="5633" max="5633" width="11.28515625" style="1181" bestFit="1" customWidth="1"/>
    <col min="5634" max="5634" width="11.42578125" style="1181" bestFit="1" customWidth="1"/>
    <col min="5635" max="5635" width="11.85546875" style="1181" customWidth="1"/>
    <col min="5636" max="5636" width="10" style="1181" customWidth="1"/>
    <col min="5637" max="5637" width="11.140625" style="1181" customWidth="1"/>
    <col min="5638" max="5638" width="10.28515625" style="1181" bestFit="1" customWidth="1"/>
    <col min="5639" max="5639" width="10.140625" style="1181" bestFit="1" customWidth="1"/>
    <col min="5640" max="5640" width="12" style="1181" bestFit="1" customWidth="1"/>
    <col min="5641" max="5641" width="14.28515625" style="1181" bestFit="1" customWidth="1"/>
    <col min="5642" max="5642" width="13.5703125" style="1181" bestFit="1" customWidth="1"/>
    <col min="5643" max="5643" width="13.85546875" style="1181" bestFit="1" customWidth="1"/>
    <col min="5644" max="5886" width="9.140625" style="1181"/>
    <col min="5887" max="5887" width="4.42578125" style="1181" customWidth="1"/>
    <col min="5888" max="5888" width="46.85546875" style="1181" customWidth="1"/>
    <col min="5889" max="5889" width="11.28515625" style="1181" bestFit="1" customWidth="1"/>
    <col min="5890" max="5890" width="11.42578125" style="1181" bestFit="1" customWidth="1"/>
    <col min="5891" max="5891" width="11.85546875" style="1181" customWidth="1"/>
    <col min="5892" max="5892" width="10" style="1181" customWidth="1"/>
    <col min="5893" max="5893" width="11.140625" style="1181" customWidth="1"/>
    <col min="5894" max="5894" width="10.28515625" style="1181" bestFit="1" customWidth="1"/>
    <col min="5895" max="5895" width="10.140625" style="1181" bestFit="1" customWidth="1"/>
    <col min="5896" max="5896" width="12" style="1181" bestFit="1" customWidth="1"/>
    <col min="5897" max="5897" width="14.28515625" style="1181" bestFit="1" customWidth="1"/>
    <col min="5898" max="5898" width="13.5703125" style="1181" bestFit="1" customWidth="1"/>
    <col min="5899" max="5899" width="13.85546875" style="1181" bestFit="1" customWidth="1"/>
    <col min="5900" max="6142" width="9.140625" style="1181"/>
    <col min="6143" max="6143" width="4.42578125" style="1181" customWidth="1"/>
    <col min="6144" max="6144" width="46.85546875" style="1181" customWidth="1"/>
    <col min="6145" max="6145" width="11.28515625" style="1181" bestFit="1" customWidth="1"/>
    <col min="6146" max="6146" width="11.42578125" style="1181" bestFit="1" customWidth="1"/>
    <col min="6147" max="6147" width="11.85546875" style="1181" customWidth="1"/>
    <col min="6148" max="6148" width="10" style="1181" customWidth="1"/>
    <col min="6149" max="6149" width="11.140625" style="1181" customWidth="1"/>
    <col min="6150" max="6150" width="10.28515625" style="1181" bestFit="1" customWidth="1"/>
    <col min="6151" max="6151" width="10.140625" style="1181" bestFit="1" customWidth="1"/>
    <col min="6152" max="6152" width="12" style="1181" bestFit="1" customWidth="1"/>
    <col min="6153" max="6153" width="14.28515625" style="1181" bestFit="1" customWidth="1"/>
    <col min="6154" max="6154" width="13.5703125" style="1181" bestFit="1" customWidth="1"/>
    <col min="6155" max="6155" width="13.85546875" style="1181" bestFit="1" customWidth="1"/>
    <col min="6156" max="6398" width="9.140625" style="1181"/>
    <col min="6399" max="6399" width="4.42578125" style="1181" customWidth="1"/>
    <col min="6400" max="6400" width="46.85546875" style="1181" customWidth="1"/>
    <col min="6401" max="6401" width="11.28515625" style="1181" bestFit="1" customWidth="1"/>
    <col min="6402" max="6402" width="11.42578125" style="1181" bestFit="1" customWidth="1"/>
    <col min="6403" max="6403" width="11.85546875" style="1181" customWidth="1"/>
    <col min="6404" max="6404" width="10" style="1181" customWidth="1"/>
    <col min="6405" max="6405" width="11.140625" style="1181" customWidth="1"/>
    <col min="6406" max="6406" width="10.28515625" style="1181" bestFit="1" customWidth="1"/>
    <col min="6407" max="6407" width="10.140625" style="1181" bestFit="1" customWidth="1"/>
    <col min="6408" max="6408" width="12" style="1181" bestFit="1" customWidth="1"/>
    <col min="6409" max="6409" width="14.28515625" style="1181" bestFit="1" customWidth="1"/>
    <col min="6410" max="6410" width="13.5703125" style="1181" bestFit="1" customWidth="1"/>
    <col min="6411" max="6411" width="13.85546875" style="1181" bestFit="1" customWidth="1"/>
    <col min="6412" max="6654" width="9.140625" style="1181"/>
    <col min="6655" max="6655" width="4.42578125" style="1181" customWidth="1"/>
    <col min="6656" max="6656" width="46.85546875" style="1181" customWidth="1"/>
    <col min="6657" max="6657" width="11.28515625" style="1181" bestFit="1" customWidth="1"/>
    <col min="6658" max="6658" width="11.42578125" style="1181" bestFit="1" customWidth="1"/>
    <col min="6659" max="6659" width="11.85546875" style="1181" customWidth="1"/>
    <col min="6660" max="6660" width="10" style="1181" customWidth="1"/>
    <col min="6661" max="6661" width="11.140625" style="1181" customWidth="1"/>
    <col min="6662" max="6662" width="10.28515625" style="1181" bestFit="1" customWidth="1"/>
    <col min="6663" max="6663" width="10.140625" style="1181" bestFit="1" customWidth="1"/>
    <col min="6664" max="6664" width="12" style="1181" bestFit="1" customWidth="1"/>
    <col min="6665" max="6665" width="14.28515625" style="1181" bestFit="1" customWidth="1"/>
    <col min="6666" max="6666" width="13.5703125" style="1181" bestFit="1" customWidth="1"/>
    <col min="6667" max="6667" width="13.85546875" style="1181" bestFit="1" customWidth="1"/>
    <col min="6668" max="6910" width="9.140625" style="1181"/>
    <col min="6911" max="6911" width="4.42578125" style="1181" customWidth="1"/>
    <col min="6912" max="6912" width="46.85546875" style="1181" customWidth="1"/>
    <col min="6913" max="6913" width="11.28515625" style="1181" bestFit="1" customWidth="1"/>
    <col min="6914" max="6914" width="11.42578125" style="1181" bestFit="1" customWidth="1"/>
    <col min="6915" max="6915" width="11.85546875" style="1181" customWidth="1"/>
    <col min="6916" max="6916" width="10" style="1181" customWidth="1"/>
    <col min="6917" max="6917" width="11.140625" style="1181" customWidth="1"/>
    <col min="6918" max="6918" width="10.28515625" style="1181" bestFit="1" customWidth="1"/>
    <col min="6919" max="6919" width="10.140625" style="1181" bestFit="1" customWidth="1"/>
    <col min="6920" max="6920" width="12" style="1181" bestFit="1" customWidth="1"/>
    <col min="6921" max="6921" width="14.28515625" style="1181" bestFit="1" customWidth="1"/>
    <col min="6922" max="6922" width="13.5703125" style="1181" bestFit="1" customWidth="1"/>
    <col min="6923" max="6923" width="13.85546875" style="1181" bestFit="1" customWidth="1"/>
    <col min="6924" max="7166" width="9.140625" style="1181"/>
    <col min="7167" max="7167" width="4.42578125" style="1181" customWidth="1"/>
    <col min="7168" max="7168" width="46.85546875" style="1181" customWidth="1"/>
    <col min="7169" max="7169" width="11.28515625" style="1181" bestFit="1" customWidth="1"/>
    <col min="7170" max="7170" width="11.42578125" style="1181" bestFit="1" customWidth="1"/>
    <col min="7171" max="7171" width="11.85546875" style="1181" customWidth="1"/>
    <col min="7172" max="7172" width="10" style="1181" customWidth="1"/>
    <col min="7173" max="7173" width="11.140625" style="1181" customWidth="1"/>
    <col min="7174" max="7174" width="10.28515625" style="1181" bestFit="1" customWidth="1"/>
    <col min="7175" max="7175" width="10.140625" style="1181" bestFit="1" customWidth="1"/>
    <col min="7176" max="7176" width="12" style="1181" bestFit="1" customWidth="1"/>
    <col min="7177" max="7177" width="14.28515625" style="1181" bestFit="1" customWidth="1"/>
    <col min="7178" max="7178" width="13.5703125" style="1181" bestFit="1" customWidth="1"/>
    <col min="7179" max="7179" width="13.85546875" style="1181" bestFit="1" customWidth="1"/>
    <col min="7180" max="7422" width="9.140625" style="1181"/>
    <col min="7423" max="7423" width="4.42578125" style="1181" customWidth="1"/>
    <col min="7424" max="7424" width="46.85546875" style="1181" customWidth="1"/>
    <col min="7425" max="7425" width="11.28515625" style="1181" bestFit="1" customWidth="1"/>
    <col min="7426" max="7426" width="11.42578125" style="1181" bestFit="1" customWidth="1"/>
    <col min="7427" max="7427" width="11.85546875" style="1181" customWidth="1"/>
    <col min="7428" max="7428" width="10" style="1181" customWidth="1"/>
    <col min="7429" max="7429" width="11.140625" style="1181" customWidth="1"/>
    <col min="7430" max="7430" width="10.28515625" style="1181" bestFit="1" customWidth="1"/>
    <col min="7431" max="7431" width="10.140625" style="1181" bestFit="1" customWidth="1"/>
    <col min="7432" max="7432" width="12" style="1181" bestFit="1" customWidth="1"/>
    <col min="7433" max="7433" width="14.28515625" style="1181" bestFit="1" customWidth="1"/>
    <col min="7434" max="7434" width="13.5703125" style="1181" bestFit="1" customWidth="1"/>
    <col min="7435" max="7435" width="13.85546875" style="1181" bestFit="1" customWidth="1"/>
    <col min="7436" max="7678" width="9.140625" style="1181"/>
    <col min="7679" max="7679" width="4.42578125" style="1181" customWidth="1"/>
    <col min="7680" max="7680" width="46.85546875" style="1181" customWidth="1"/>
    <col min="7681" max="7681" width="11.28515625" style="1181" bestFit="1" customWidth="1"/>
    <col min="7682" max="7682" width="11.42578125" style="1181" bestFit="1" customWidth="1"/>
    <col min="7683" max="7683" width="11.85546875" style="1181" customWidth="1"/>
    <col min="7684" max="7684" width="10" style="1181" customWidth="1"/>
    <col min="7685" max="7685" width="11.140625" style="1181" customWidth="1"/>
    <col min="7686" max="7686" width="10.28515625" style="1181" bestFit="1" customWidth="1"/>
    <col min="7687" max="7687" width="10.140625" style="1181" bestFit="1" customWidth="1"/>
    <col min="7688" max="7688" width="12" style="1181" bestFit="1" customWidth="1"/>
    <col min="7689" max="7689" width="14.28515625" style="1181" bestFit="1" customWidth="1"/>
    <col min="7690" max="7690" width="13.5703125" style="1181" bestFit="1" customWidth="1"/>
    <col min="7691" max="7691" width="13.85546875" style="1181" bestFit="1" customWidth="1"/>
    <col min="7692" max="7934" width="9.140625" style="1181"/>
    <col min="7935" max="7935" width="4.42578125" style="1181" customWidth="1"/>
    <col min="7936" max="7936" width="46.85546875" style="1181" customWidth="1"/>
    <col min="7937" max="7937" width="11.28515625" style="1181" bestFit="1" customWidth="1"/>
    <col min="7938" max="7938" width="11.42578125" style="1181" bestFit="1" customWidth="1"/>
    <col min="7939" max="7939" width="11.85546875" style="1181" customWidth="1"/>
    <col min="7940" max="7940" width="10" style="1181" customWidth="1"/>
    <col min="7941" max="7941" width="11.140625" style="1181" customWidth="1"/>
    <col min="7942" max="7942" width="10.28515625" style="1181" bestFit="1" customWidth="1"/>
    <col min="7943" max="7943" width="10.140625" style="1181" bestFit="1" customWidth="1"/>
    <col min="7944" max="7944" width="12" style="1181" bestFit="1" customWidth="1"/>
    <col min="7945" max="7945" width="14.28515625" style="1181" bestFit="1" customWidth="1"/>
    <col min="7946" max="7946" width="13.5703125" style="1181" bestFit="1" customWidth="1"/>
    <col min="7947" max="7947" width="13.85546875" style="1181" bestFit="1" customWidth="1"/>
    <col min="7948" max="8190" width="9.140625" style="1181"/>
    <col min="8191" max="8191" width="4.42578125" style="1181" customWidth="1"/>
    <col min="8192" max="8192" width="46.85546875" style="1181" customWidth="1"/>
    <col min="8193" max="8193" width="11.28515625" style="1181" bestFit="1" customWidth="1"/>
    <col min="8194" max="8194" width="11.42578125" style="1181" bestFit="1" customWidth="1"/>
    <col min="8195" max="8195" width="11.85546875" style="1181" customWidth="1"/>
    <col min="8196" max="8196" width="10" style="1181" customWidth="1"/>
    <col min="8197" max="8197" width="11.140625" style="1181" customWidth="1"/>
    <col min="8198" max="8198" width="10.28515625" style="1181" bestFit="1" customWidth="1"/>
    <col min="8199" max="8199" width="10.140625" style="1181" bestFit="1" customWidth="1"/>
    <col min="8200" max="8200" width="12" style="1181" bestFit="1" customWidth="1"/>
    <col min="8201" max="8201" width="14.28515625" style="1181" bestFit="1" customWidth="1"/>
    <col min="8202" max="8202" width="13.5703125" style="1181" bestFit="1" customWidth="1"/>
    <col min="8203" max="8203" width="13.85546875" style="1181" bestFit="1" customWidth="1"/>
    <col min="8204" max="8446" width="9.140625" style="1181"/>
    <col min="8447" max="8447" width="4.42578125" style="1181" customWidth="1"/>
    <col min="8448" max="8448" width="46.85546875" style="1181" customWidth="1"/>
    <col min="8449" max="8449" width="11.28515625" style="1181" bestFit="1" customWidth="1"/>
    <col min="8450" max="8450" width="11.42578125" style="1181" bestFit="1" customWidth="1"/>
    <col min="8451" max="8451" width="11.85546875" style="1181" customWidth="1"/>
    <col min="8452" max="8452" width="10" style="1181" customWidth="1"/>
    <col min="8453" max="8453" width="11.140625" style="1181" customWidth="1"/>
    <col min="8454" max="8454" width="10.28515625" style="1181" bestFit="1" customWidth="1"/>
    <col min="8455" max="8455" width="10.140625" style="1181" bestFit="1" customWidth="1"/>
    <col min="8456" max="8456" width="12" style="1181" bestFit="1" customWidth="1"/>
    <col min="8457" max="8457" width="14.28515625" style="1181" bestFit="1" customWidth="1"/>
    <col min="8458" max="8458" width="13.5703125" style="1181" bestFit="1" customWidth="1"/>
    <col min="8459" max="8459" width="13.85546875" style="1181" bestFit="1" customWidth="1"/>
    <col min="8460" max="8702" width="9.140625" style="1181"/>
    <col min="8703" max="8703" width="4.42578125" style="1181" customWidth="1"/>
    <col min="8704" max="8704" width="46.85546875" style="1181" customWidth="1"/>
    <col min="8705" max="8705" width="11.28515625" style="1181" bestFit="1" customWidth="1"/>
    <col min="8706" max="8706" width="11.42578125" style="1181" bestFit="1" customWidth="1"/>
    <col min="8707" max="8707" width="11.85546875" style="1181" customWidth="1"/>
    <col min="8708" max="8708" width="10" style="1181" customWidth="1"/>
    <col min="8709" max="8709" width="11.140625" style="1181" customWidth="1"/>
    <col min="8710" max="8710" width="10.28515625" style="1181" bestFit="1" customWidth="1"/>
    <col min="8711" max="8711" width="10.140625" style="1181" bestFit="1" customWidth="1"/>
    <col min="8712" max="8712" width="12" style="1181" bestFit="1" customWidth="1"/>
    <col min="8713" max="8713" width="14.28515625" style="1181" bestFit="1" customWidth="1"/>
    <col min="8714" max="8714" width="13.5703125" style="1181" bestFit="1" customWidth="1"/>
    <col min="8715" max="8715" width="13.85546875" style="1181" bestFit="1" customWidth="1"/>
    <col min="8716" max="8958" width="9.140625" style="1181"/>
    <col min="8959" max="8959" width="4.42578125" style="1181" customWidth="1"/>
    <col min="8960" max="8960" width="46.85546875" style="1181" customWidth="1"/>
    <col min="8961" max="8961" width="11.28515625" style="1181" bestFit="1" customWidth="1"/>
    <col min="8962" max="8962" width="11.42578125" style="1181" bestFit="1" customWidth="1"/>
    <col min="8963" max="8963" width="11.85546875" style="1181" customWidth="1"/>
    <col min="8964" max="8964" width="10" style="1181" customWidth="1"/>
    <col min="8965" max="8965" width="11.140625" style="1181" customWidth="1"/>
    <col min="8966" max="8966" width="10.28515625" style="1181" bestFit="1" customWidth="1"/>
    <col min="8967" max="8967" width="10.140625" style="1181" bestFit="1" customWidth="1"/>
    <col min="8968" max="8968" width="12" style="1181" bestFit="1" customWidth="1"/>
    <col min="8969" max="8969" width="14.28515625" style="1181" bestFit="1" customWidth="1"/>
    <col min="8970" max="8970" width="13.5703125" style="1181" bestFit="1" customWidth="1"/>
    <col min="8971" max="8971" width="13.85546875" style="1181" bestFit="1" customWidth="1"/>
    <col min="8972" max="9214" width="9.140625" style="1181"/>
    <col min="9215" max="9215" width="4.42578125" style="1181" customWidth="1"/>
    <col min="9216" max="9216" width="46.85546875" style="1181" customWidth="1"/>
    <col min="9217" max="9217" width="11.28515625" style="1181" bestFit="1" customWidth="1"/>
    <col min="9218" max="9218" width="11.42578125" style="1181" bestFit="1" customWidth="1"/>
    <col min="9219" max="9219" width="11.85546875" style="1181" customWidth="1"/>
    <col min="9220" max="9220" width="10" style="1181" customWidth="1"/>
    <col min="9221" max="9221" width="11.140625" style="1181" customWidth="1"/>
    <col min="9222" max="9222" width="10.28515625" style="1181" bestFit="1" customWidth="1"/>
    <col min="9223" max="9223" width="10.140625" style="1181" bestFit="1" customWidth="1"/>
    <col min="9224" max="9224" width="12" style="1181" bestFit="1" customWidth="1"/>
    <col min="9225" max="9225" width="14.28515625" style="1181" bestFit="1" customWidth="1"/>
    <col min="9226" max="9226" width="13.5703125" style="1181" bestFit="1" customWidth="1"/>
    <col min="9227" max="9227" width="13.85546875" style="1181" bestFit="1" customWidth="1"/>
    <col min="9228" max="9470" width="9.140625" style="1181"/>
    <col min="9471" max="9471" width="4.42578125" style="1181" customWidth="1"/>
    <col min="9472" max="9472" width="46.85546875" style="1181" customWidth="1"/>
    <col min="9473" max="9473" width="11.28515625" style="1181" bestFit="1" customWidth="1"/>
    <col min="9474" max="9474" width="11.42578125" style="1181" bestFit="1" customWidth="1"/>
    <col min="9475" max="9475" width="11.85546875" style="1181" customWidth="1"/>
    <col min="9476" max="9476" width="10" style="1181" customWidth="1"/>
    <col min="9477" max="9477" width="11.140625" style="1181" customWidth="1"/>
    <col min="9478" max="9478" width="10.28515625" style="1181" bestFit="1" customWidth="1"/>
    <col min="9479" max="9479" width="10.140625" style="1181" bestFit="1" customWidth="1"/>
    <col min="9480" max="9480" width="12" style="1181" bestFit="1" customWidth="1"/>
    <col min="9481" max="9481" width="14.28515625" style="1181" bestFit="1" customWidth="1"/>
    <col min="9482" max="9482" width="13.5703125" style="1181" bestFit="1" customWidth="1"/>
    <col min="9483" max="9483" width="13.85546875" style="1181" bestFit="1" customWidth="1"/>
    <col min="9484" max="9726" width="9.140625" style="1181"/>
    <col min="9727" max="9727" width="4.42578125" style="1181" customWidth="1"/>
    <col min="9728" max="9728" width="46.85546875" style="1181" customWidth="1"/>
    <col min="9729" max="9729" width="11.28515625" style="1181" bestFit="1" customWidth="1"/>
    <col min="9730" max="9730" width="11.42578125" style="1181" bestFit="1" customWidth="1"/>
    <col min="9731" max="9731" width="11.85546875" style="1181" customWidth="1"/>
    <col min="9732" max="9732" width="10" style="1181" customWidth="1"/>
    <col min="9733" max="9733" width="11.140625" style="1181" customWidth="1"/>
    <col min="9734" max="9734" width="10.28515625" style="1181" bestFit="1" customWidth="1"/>
    <col min="9735" max="9735" width="10.140625" style="1181" bestFit="1" customWidth="1"/>
    <col min="9736" max="9736" width="12" style="1181" bestFit="1" customWidth="1"/>
    <col min="9737" max="9737" width="14.28515625" style="1181" bestFit="1" customWidth="1"/>
    <col min="9738" max="9738" width="13.5703125" style="1181" bestFit="1" customWidth="1"/>
    <col min="9739" max="9739" width="13.85546875" style="1181" bestFit="1" customWidth="1"/>
    <col min="9740" max="9982" width="9.140625" style="1181"/>
    <col min="9983" max="9983" width="4.42578125" style="1181" customWidth="1"/>
    <col min="9984" max="9984" width="46.85546875" style="1181" customWidth="1"/>
    <col min="9985" max="9985" width="11.28515625" style="1181" bestFit="1" customWidth="1"/>
    <col min="9986" max="9986" width="11.42578125" style="1181" bestFit="1" customWidth="1"/>
    <col min="9987" max="9987" width="11.85546875" style="1181" customWidth="1"/>
    <col min="9988" max="9988" width="10" style="1181" customWidth="1"/>
    <col min="9989" max="9989" width="11.140625" style="1181" customWidth="1"/>
    <col min="9990" max="9990" width="10.28515625" style="1181" bestFit="1" customWidth="1"/>
    <col min="9991" max="9991" width="10.140625" style="1181" bestFit="1" customWidth="1"/>
    <col min="9992" max="9992" width="12" style="1181" bestFit="1" customWidth="1"/>
    <col min="9993" max="9993" width="14.28515625" style="1181" bestFit="1" customWidth="1"/>
    <col min="9994" max="9994" width="13.5703125" style="1181" bestFit="1" customWidth="1"/>
    <col min="9995" max="9995" width="13.85546875" style="1181" bestFit="1" customWidth="1"/>
    <col min="9996" max="10238" width="9.140625" style="1181"/>
    <col min="10239" max="10239" width="4.42578125" style="1181" customWidth="1"/>
    <col min="10240" max="10240" width="46.85546875" style="1181" customWidth="1"/>
    <col min="10241" max="10241" width="11.28515625" style="1181" bestFit="1" customWidth="1"/>
    <col min="10242" max="10242" width="11.42578125" style="1181" bestFit="1" customWidth="1"/>
    <col min="10243" max="10243" width="11.85546875" style="1181" customWidth="1"/>
    <col min="10244" max="10244" width="10" style="1181" customWidth="1"/>
    <col min="10245" max="10245" width="11.140625" style="1181" customWidth="1"/>
    <col min="10246" max="10246" width="10.28515625" style="1181" bestFit="1" customWidth="1"/>
    <col min="10247" max="10247" width="10.140625" style="1181" bestFit="1" customWidth="1"/>
    <col min="10248" max="10248" width="12" style="1181" bestFit="1" customWidth="1"/>
    <col min="10249" max="10249" width="14.28515625" style="1181" bestFit="1" customWidth="1"/>
    <col min="10250" max="10250" width="13.5703125" style="1181" bestFit="1" customWidth="1"/>
    <col min="10251" max="10251" width="13.85546875" style="1181" bestFit="1" customWidth="1"/>
    <col min="10252" max="10494" width="9.140625" style="1181"/>
    <col min="10495" max="10495" width="4.42578125" style="1181" customWidth="1"/>
    <col min="10496" max="10496" width="46.85546875" style="1181" customWidth="1"/>
    <col min="10497" max="10497" width="11.28515625" style="1181" bestFit="1" customWidth="1"/>
    <col min="10498" max="10498" width="11.42578125" style="1181" bestFit="1" customWidth="1"/>
    <col min="10499" max="10499" width="11.85546875" style="1181" customWidth="1"/>
    <col min="10500" max="10500" width="10" style="1181" customWidth="1"/>
    <col min="10501" max="10501" width="11.140625" style="1181" customWidth="1"/>
    <col min="10502" max="10502" width="10.28515625" style="1181" bestFit="1" customWidth="1"/>
    <col min="10503" max="10503" width="10.140625" style="1181" bestFit="1" customWidth="1"/>
    <col min="10504" max="10504" width="12" style="1181" bestFit="1" customWidth="1"/>
    <col min="10505" max="10505" width="14.28515625" style="1181" bestFit="1" customWidth="1"/>
    <col min="10506" max="10506" width="13.5703125" style="1181" bestFit="1" customWidth="1"/>
    <col min="10507" max="10507" width="13.85546875" style="1181" bestFit="1" customWidth="1"/>
    <col min="10508" max="10750" width="9.140625" style="1181"/>
    <col min="10751" max="10751" width="4.42578125" style="1181" customWidth="1"/>
    <col min="10752" max="10752" width="46.85546875" style="1181" customWidth="1"/>
    <col min="10753" max="10753" width="11.28515625" style="1181" bestFit="1" customWidth="1"/>
    <col min="10754" max="10754" width="11.42578125" style="1181" bestFit="1" customWidth="1"/>
    <col min="10755" max="10755" width="11.85546875" style="1181" customWidth="1"/>
    <col min="10756" max="10756" width="10" style="1181" customWidth="1"/>
    <col min="10757" max="10757" width="11.140625" style="1181" customWidth="1"/>
    <col min="10758" max="10758" width="10.28515625" style="1181" bestFit="1" customWidth="1"/>
    <col min="10759" max="10759" width="10.140625" style="1181" bestFit="1" customWidth="1"/>
    <col min="10760" max="10760" width="12" style="1181" bestFit="1" customWidth="1"/>
    <col min="10761" max="10761" width="14.28515625" style="1181" bestFit="1" customWidth="1"/>
    <col min="10762" max="10762" width="13.5703125" style="1181" bestFit="1" customWidth="1"/>
    <col min="10763" max="10763" width="13.85546875" style="1181" bestFit="1" customWidth="1"/>
    <col min="10764" max="11006" width="9.140625" style="1181"/>
    <col min="11007" max="11007" width="4.42578125" style="1181" customWidth="1"/>
    <col min="11008" max="11008" width="46.85546875" style="1181" customWidth="1"/>
    <col min="11009" max="11009" width="11.28515625" style="1181" bestFit="1" customWidth="1"/>
    <col min="11010" max="11010" width="11.42578125" style="1181" bestFit="1" customWidth="1"/>
    <col min="11011" max="11011" width="11.85546875" style="1181" customWidth="1"/>
    <col min="11012" max="11012" width="10" style="1181" customWidth="1"/>
    <col min="11013" max="11013" width="11.140625" style="1181" customWidth="1"/>
    <col min="11014" max="11014" width="10.28515625" style="1181" bestFit="1" customWidth="1"/>
    <col min="11015" max="11015" width="10.140625" style="1181" bestFit="1" customWidth="1"/>
    <col min="11016" max="11016" width="12" style="1181" bestFit="1" customWidth="1"/>
    <col min="11017" max="11017" width="14.28515625" style="1181" bestFit="1" customWidth="1"/>
    <col min="11018" max="11018" width="13.5703125" style="1181" bestFit="1" customWidth="1"/>
    <col min="11019" max="11019" width="13.85546875" style="1181" bestFit="1" customWidth="1"/>
    <col min="11020" max="11262" width="9.140625" style="1181"/>
    <col min="11263" max="11263" width="4.42578125" style="1181" customWidth="1"/>
    <col min="11264" max="11264" width="46.85546875" style="1181" customWidth="1"/>
    <col min="11265" max="11265" width="11.28515625" style="1181" bestFit="1" customWidth="1"/>
    <col min="11266" max="11266" width="11.42578125" style="1181" bestFit="1" customWidth="1"/>
    <col min="11267" max="11267" width="11.85546875" style="1181" customWidth="1"/>
    <col min="11268" max="11268" width="10" style="1181" customWidth="1"/>
    <col min="11269" max="11269" width="11.140625" style="1181" customWidth="1"/>
    <col min="11270" max="11270" width="10.28515625" style="1181" bestFit="1" customWidth="1"/>
    <col min="11271" max="11271" width="10.140625" style="1181" bestFit="1" customWidth="1"/>
    <col min="11272" max="11272" width="12" style="1181" bestFit="1" customWidth="1"/>
    <col min="11273" max="11273" width="14.28515625" style="1181" bestFit="1" customWidth="1"/>
    <col min="11274" max="11274" width="13.5703125" style="1181" bestFit="1" customWidth="1"/>
    <col min="11275" max="11275" width="13.85546875" style="1181" bestFit="1" customWidth="1"/>
    <col min="11276" max="11518" width="9.140625" style="1181"/>
    <col min="11519" max="11519" width="4.42578125" style="1181" customWidth="1"/>
    <col min="11520" max="11520" width="46.85546875" style="1181" customWidth="1"/>
    <col min="11521" max="11521" width="11.28515625" style="1181" bestFit="1" customWidth="1"/>
    <col min="11522" max="11522" width="11.42578125" style="1181" bestFit="1" customWidth="1"/>
    <col min="11523" max="11523" width="11.85546875" style="1181" customWidth="1"/>
    <col min="11524" max="11524" width="10" style="1181" customWidth="1"/>
    <col min="11525" max="11525" width="11.140625" style="1181" customWidth="1"/>
    <col min="11526" max="11526" width="10.28515625" style="1181" bestFit="1" customWidth="1"/>
    <col min="11527" max="11527" width="10.140625" style="1181" bestFit="1" customWidth="1"/>
    <col min="11528" max="11528" width="12" style="1181" bestFit="1" customWidth="1"/>
    <col min="11529" max="11529" width="14.28515625" style="1181" bestFit="1" customWidth="1"/>
    <col min="11530" max="11530" width="13.5703125" style="1181" bestFit="1" customWidth="1"/>
    <col min="11531" max="11531" width="13.85546875" style="1181" bestFit="1" customWidth="1"/>
    <col min="11532" max="11774" width="9.140625" style="1181"/>
    <col min="11775" max="11775" width="4.42578125" style="1181" customWidth="1"/>
    <col min="11776" max="11776" width="46.85546875" style="1181" customWidth="1"/>
    <col min="11777" max="11777" width="11.28515625" style="1181" bestFit="1" customWidth="1"/>
    <col min="11778" max="11778" width="11.42578125" style="1181" bestFit="1" customWidth="1"/>
    <col min="11779" max="11779" width="11.85546875" style="1181" customWidth="1"/>
    <col min="11780" max="11780" width="10" style="1181" customWidth="1"/>
    <col min="11781" max="11781" width="11.140625" style="1181" customWidth="1"/>
    <col min="11782" max="11782" width="10.28515625" style="1181" bestFit="1" customWidth="1"/>
    <col min="11783" max="11783" width="10.140625" style="1181" bestFit="1" customWidth="1"/>
    <col min="11784" max="11784" width="12" style="1181" bestFit="1" customWidth="1"/>
    <col min="11785" max="11785" width="14.28515625" style="1181" bestFit="1" customWidth="1"/>
    <col min="11786" max="11786" width="13.5703125" style="1181" bestFit="1" customWidth="1"/>
    <col min="11787" max="11787" width="13.85546875" style="1181" bestFit="1" customWidth="1"/>
    <col min="11788" max="12030" width="9.140625" style="1181"/>
    <col min="12031" max="12031" width="4.42578125" style="1181" customWidth="1"/>
    <col min="12032" max="12032" width="46.85546875" style="1181" customWidth="1"/>
    <col min="12033" max="12033" width="11.28515625" style="1181" bestFit="1" customWidth="1"/>
    <col min="12034" max="12034" width="11.42578125" style="1181" bestFit="1" customWidth="1"/>
    <col min="12035" max="12035" width="11.85546875" style="1181" customWidth="1"/>
    <col min="12036" max="12036" width="10" style="1181" customWidth="1"/>
    <col min="12037" max="12037" width="11.140625" style="1181" customWidth="1"/>
    <col min="12038" max="12038" width="10.28515625" style="1181" bestFit="1" customWidth="1"/>
    <col min="12039" max="12039" width="10.140625" style="1181" bestFit="1" customWidth="1"/>
    <col min="12040" max="12040" width="12" style="1181" bestFit="1" customWidth="1"/>
    <col min="12041" max="12041" width="14.28515625" style="1181" bestFit="1" customWidth="1"/>
    <col min="12042" max="12042" width="13.5703125" style="1181" bestFit="1" customWidth="1"/>
    <col min="12043" max="12043" width="13.85546875" style="1181" bestFit="1" customWidth="1"/>
    <col min="12044" max="12286" width="9.140625" style="1181"/>
    <col min="12287" max="12287" width="4.42578125" style="1181" customWidth="1"/>
    <col min="12288" max="12288" width="46.85546875" style="1181" customWidth="1"/>
    <col min="12289" max="12289" width="11.28515625" style="1181" bestFit="1" customWidth="1"/>
    <col min="12290" max="12290" width="11.42578125" style="1181" bestFit="1" customWidth="1"/>
    <col min="12291" max="12291" width="11.85546875" style="1181" customWidth="1"/>
    <col min="12292" max="12292" width="10" style="1181" customWidth="1"/>
    <col min="12293" max="12293" width="11.140625" style="1181" customWidth="1"/>
    <col min="12294" max="12294" width="10.28515625" style="1181" bestFit="1" customWidth="1"/>
    <col min="12295" max="12295" width="10.140625" style="1181" bestFit="1" customWidth="1"/>
    <col min="12296" max="12296" width="12" style="1181" bestFit="1" customWidth="1"/>
    <col min="12297" max="12297" width="14.28515625" style="1181" bestFit="1" customWidth="1"/>
    <col min="12298" max="12298" width="13.5703125" style="1181" bestFit="1" customWidth="1"/>
    <col min="12299" max="12299" width="13.85546875" style="1181" bestFit="1" customWidth="1"/>
    <col min="12300" max="12542" width="9.140625" style="1181"/>
    <col min="12543" max="12543" width="4.42578125" style="1181" customWidth="1"/>
    <col min="12544" max="12544" width="46.85546875" style="1181" customWidth="1"/>
    <col min="12545" max="12545" width="11.28515625" style="1181" bestFit="1" customWidth="1"/>
    <col min="12546" max="12546" width="11.42578125" style="1181" bestFit="1" customWidth="1"/>
    <col min="12547" max="12547" width="11.85546875" style="1181" customWidth="1"/>
    <col min="12548" max="12548" width="10" style="1181" customWidth="1"/>
    <col min="12549" max="12549" width="11.140625" style="1181" customWidth="1"/>
    <col min="12550" max="12550" width="10.28515625" style="1181" bestFit="1" customWidth="1"/>
    <col min="12551" max="12551" width="10.140625" style="1181" bestFit="1" customWidth="1"/>
    <col min="12552" max="12552" width="12" style="1181" bestFit="1" customWidth="1"/>
    <col min="12553" max="12553" width="14.28515625" style="1181" bestFit="1" customWidth="1"/>
    <col min="12554" max="12554" width="13.5703125" style="1181" bestFit="1" customWidth="1"/>
    <col min="12555" max="12555" width="13.85546875" style="1181" bestFit="1" customWidth="1"/>
    <col min="12556" max="12798" width="9.140625" style="1181"/>
    <col min="12799" max="12799" width="4.42578125" style="1181" customWidth="1"/>
    <col min="12800" max="12800" width="46.85546875" style="1181" customWidth="1"/>
    <col min="12801" max="12801" width="11.28515625" style="1181" bestFit="1" customWidth="1"/>
    <col min="12802" max="12802" width="11.42578125" style="1181" bestFit="1" customWidth="1"/>
    <col min="12803" max="12803" width="11.85546875" style="1181" customWidth="1"/>
    <col min="12804" max="12804" width="10" style="1181" customWidth="1"/>
    <col min="12805" max="12805" width="11.140625" style="1181" customWidth="1"/>
    <col min="12806" max="12806" width="10.28515625" style="1181" bestFit="1" customWidth="1"/>
    <col min="12807" max="12807" width="10.140625" style="1181" bestFit="1" customWidth="1"/>
    <col min="12808" max="12808" width="12" style="1181" bestFit="1" customWidth="1"/>
    <col min="12809" max="12809" width="14.28515625" style="1181" bestFit="1" customWidth="1"/>
    <col min="12810" max="12810" width="13.5703125" style="1181" bestFit="1" customWidth="1"/>
    <col min="12811" max="12811" width="13.85546875" style="1181" bestFit="1" customWidth="1"/>
    <col min="12812" max="13054" width="9.140625" style="1181"/>
    <col min="13055" max="13055" width="4.42578125" style="1181" customWidth="1"/>
    <col min="13056" max="13056" width="46.85546875" style="1181" customWidth="1"/>
    <col min="13057" max="13057" width="11.28515625" style="1181" bestFit="1" customWidth="1"/>
    <col min="13058" max="13058" width="11.42578125" style="1181" bestFit="1" customWidth="1"/>
    <col min="13059" max="13059" width="11.85546875" style="1181" customWidth="1"/>
    <col min="13060" max="13060" width="10" style="1181" customWidth="1"/>
    <col min="13061" max="13061" width="11.140625" style="1181" customWidth="1"/>
    <col min="13062" max="13062" width="10.28515625" style="1181" bestFit="1" customWidth="1"/>
    <col min="13063" max="13063" width="10.140625" style="1181" bestFit="1" customWidth="1"/>
    <col min="13064" max="13064" width="12" style="1181" bestFit="1" customWidth="1"/>
    <col min="13065" max="13065" width="14.28515625" style="1181" bestFit="1" customWidth="1"/>
    <col min="13066" max="13066" width="13.5703125" style="1181" bestFit="1" customWidth="1"/>
    <col min="13067" max="13067" width="13.85546875" style="1181" bestFit="1" customWidth="1"/>
    <col min="13068" max="13310" width="9.140625" style="1181"/>
    <col min="13311" max="13311" width="4.42578125" style="1181" customWidth="1"/>
    <col min="13312" max="13312" width="46.85546875" style="1181" customWidth="1"/>
    <col min="13313" max="13313" width="11.28515625" style="1181" bestFit="1" customWidth="1"/>
    <col min="13314" max="13314" width="11.42578125" style="1181" bestFit="1" customWidth="1"/>
    <col min="13315" max="13315" width="11.85546875" style="1181" customWidth="1"/>
    <col min="13316" max="13316" width="10" style="1181" customWidth="1"/>
    <col min="13317" max="13317" width="11.140625" style="1181" customWidth="1"/>
    <col min="13318" max="13318" width="10.28515625" style="1181" bestFit="1" customWidth="1"/>
    <col min="13319" max="13319" width="10.140625" style="1181" bestFit="1" customWidth="1"/>
    <col min="13320" max="13320" width="12" style="1181" bestFit="1" customWidth="1"/>
    <col min="13321" max="13321" width="14.28515625" style="1181" bestFit="1" customWidth="1"/>
    <col min="13322" max="13322" width="13.5703125" style="1181" bestFit="1" customWidth="1"/>
    <col min="13323" max="13323" width="13.85546875" style="1181" bestFit="1" customWidth="1"/>
    <col min="13324" max="13566" width="9.140625" style="1181"/>
    <col min="13567" max="13567" width="4.42578125" style="1181" customWidth="1"/>
    <col min="13568" max="13568" width="46.85546875" style="1181" customWidth="1"/>
    <col min="13569" max="13569" width="11.28515625" style="1181" bestFit="1" customWidth="1"/>
    <col min="13570" max="13570" width="11.42578125" style="1181" bestFit="1" customWidth="1"/>
    <col min="13571" max="13571" width="11.85546875" style="1181" customWidth="1"/>
    <col min="13572" max="13572" width="10" style="1181" customWidth="1"/>
    <col min="13573" max="13573" width="11.140625" style="1181" customWidth="1"/>
    <col min="13574" max="13574" width="10.28515625" style="1181" bestFit="1" customWidth="1"/>
    <col min="13575" max="13575" width="10.140625" style="1181" bestFit="1" customWidth="1"/>
    <col min="13576" max="13576" width="12" style="1181" bestFit="1" customWidth="1"/>
    <col min="13577" max="13577" width="14.28515625" style="1181" bestFit="1" customWidth="1"/>
    <col min="13578" max="13578" width="13.5703125" style="1181" bestFit="1" customWidth="1"/>
    <col min="13579" max="13579" width="13.85546875" style="1181" bestFit="1" customWidth="1"/>
    <col min="13580" max="13822" width="9.140625" style="1181"/>
    <col min="13823" max="13823" width="4.42578125" style="1181" customWidth="1"/>
    <col min="13824" max="13824" width="46.85546875" style="1181" customWidth="1"/>
    <col min="13825" max="13825" width="11.28515625" style="1181" bestFit="1" customWidth="1"/>
    <col min="13826" max="13826" width="11.42578125" style="1181" bestFit="1" customWidth="1"/>
    <col min="13827" max="13827" width="11.85546875" style="1181" customWidth="1"/>
    <col min="13828" max="13828" width="10" style="1181" customWidth="1"/>
    <col min="13829" max="13829" width="11.140625" style="1181" customWidth="1"/>
    <col min="13830" max="13830" width="10.28515625" style="1181" bestFit="1" customWidth="1"/>
    <col min="13831" max="13831" width="10.140625" style="1181" bestFit="1" customWidth="1"/>
    <col min="13832" max="13832" width="12" style="1181" bestFit="1" customWidth="1"/>
    <col min="13833" max="13833" width="14.28515625" style="1181" bestFit="1" customWidth="1"/>
    <col min="13834" max="13834" width="13.5703125" style="1181" bestFit="1" customWidth="1"/>
    <col min="13835" max="13835" width="13.85546875" style="1181" bestFit="1" customWidth="1"/>
    <col min="13836" max="14078" width="9.140625" style="1181"/>
    <col min="14079" max="14079" width="4.42578125" style="1181" customWidth="1"/>
    <col min="14080" max="14080" width="46.85546875" style="1181" customWidth="1"/>
    <col min="14081" max="14081" width="11.28515625" style="1181" bestFit="1" customWidth="1"/>
    <col min="14082" max="14082" width="11.42578125" style="1181" bestFit="1" customWidth="1"/>
    <col min="14083" max="14083" width="11.85546875" style="1181" customWidth="1"/>
    <col min="14084" max="14084" width="10" style="1181" customWidth="1"/>
    <col min="14085" max="14085" width="11.140625" style="1181" customWidth="1"/>
    <col min="14086" max="14086" width="10.28515625" style="1181" bestFit="1" customWidth="1"/>
    <col min="14087" max="14087" width="10.140625" style="1181" bestFit="1" customWidth="1"/>
    <col min="14088" max="14088" width="12" style="1181" bestFit="1" customWidth="1"/>
    <col min="14089" max="14089" width="14.28515625" style="1181" bestFit="1" customWidth="1"/>
    <col min="14090" max="14090" width="13.5703125" style="1181" bestFit="1" customWidth="1"/>
    <col min="14091" max="14091" width="13.85546875" style="1181" bestFit="1" customWidth="1"/>
    <col min="14092" max="14334" width="9.140625" style="1181"/>
    <col min="14335" max="14335" width="4.42578125" style="1181" customWidth="1"/>
    <col min="14336" max="14336" width="46.85546875" style="1181" customWidth="1"/>
    <col min="14337" max="14337" width="11.28515625" style="1181" bestFit="1" customWidth="1"/>
    <col min="14338" max="14338" width="11.42578125" style="1181" bestFit="1" customWidth="1"/>
    <col min="14339" max="14339" width="11.85546875" style="1181" customWidth="1"/>
    <col min="14340" max="14340" width="10" style="1181" customWidth="1"/>
    <col min="14341" max="14341" width="11.140625" style="1181" customWidth="1"/>
    <col min="14342" max="14342" width="10.28515625" style="1181" bestFit="1" customWidth="1"/>
    <col min="14343" max="14343" width="10.140625" style="1181" bestFit="1" customWidth="1"/>
    <col min="14344" max="14344" width="12" style="1181" bestFit="1" customWidth="1"/>
    <col min="14345" max="14345" width="14.28515625" style="1181" bestFit="1" customWidth="1"/>
    <col min="14346" max="14346" width="13.5703125" style="1181" bestFit="1" customWidth="1"/>
    <col min="14347" max="14347" width="13.85546875" style="1181" bestFit="1" customWidth="1"/>
    <col min="14348" max="14590" width="9.140625" style="1181"/>
    <col min="14591" max="14591" width="4.42578125" style="1181" customWidth="1"/>
    <col min="14592" max="14592" width="46.85546875" style="1181" customWidth="1"/>
    <col min="14593" max="14593" width="11.28515625" style="1181" bestFit="1" customWidth="1"/>
    <col min="14594" max="14594" width="11.42578125" style="1181" bestFit="1" customWidth="1"/>
    <col min="14595" max="14595" width="11.85546875" style="1181" customWidth="1"/>
    <col min="14596" max="14596" width="10" style="1181" customWidth="1"/>
    <col min="14597" max="14597" width="11.140625" style="1181" customWidth="1"/>
    <col min="14598" max="14598" width="10.28515625" style="1181" bestFit="1" customWidth="1"/>
    <col min="14599" max="14599" width="10.140625" style="1181" bestFit="1" customWidth="1"/>
    <col min="14600" max="14600" width="12" style="1181" bestFit="1" customWidth="1"/>
    <col min="14601" max="14601" width="14.28515625" style="1181" bestFit="1" customWidth="1"/>
    <col min="14602" max="14602" width="13.5703125" style="1181" bestFit="1" customWidth="1"/>
    <col min="14603" max="14603" width="13.85546875" style="1181" bestFit="1" customWidth="1"/>
    <col min="14604" max="14846" width="9.140625" style="1181"/>
    <col min="14847" max="14847" width="4.42578125" style="1181" customWidth="1"/>
    <col min="14848" max="14848" width="46.85546875" style="1181" customWidth="1"/>
    <col min="14849" max="14849" width="11.28515625" style="1181" bestFit="1" customWidth="1"/>
    <col min="14850" max="14850" width="11.42578125" style="1181" bestFit="1" customWidth="1"/>
    <col min="14851" max="14851" width="11.85546875" style="1181" customWidth="1"/>
    <col min="14852" max="14852" width="10" style="1181" customWidth="1"/>
    <col min="14853" max="14853" width="11.140625" style="1181" customWidth="1"/>
    <col min="14854" max="14854" width="10.28515625" style="1181" bestFit="1" customWidth="1"/>
    <col min="14855" max="14855" width="10.140625" style="1181" bestFit="1" customWidth="1"/>
    <col min="14856" max="14856" width="12" style="1181" bestFit="1" customWidth="1"/>
    <col min="14857" max="14857" width="14.28515625" style="1181" bestFit="1" customWidth="1"/>
    <col min="14858" max="14858" width="13.5703125" style="1181" bestFit="1" customWidth="1"/>
    <col min="14859" max="14859" width="13.85546875" style="1181" bestFit="1" customWidth="1"/>
    <col min="14860" max="15102" width="9.140625" style="1181"/>
    <col min="15103" max="15103" width="4.42578125" style="1181" customWidth="1"/>
    <col min="15104" max="15104" width="46.85546875" style="1181" customWidth="1"/>
    <col min="15105" max="15105" width="11.28515625" style="1181" bestFit="1" customWidth="1"/>
    <col min="15106" max="15106" width="11.42578125" style="1181" bestFit="1" customWidth="1"/>
    <col min="15107" max="15107" width="11.85546875" style="1181" customWidth="1"/>
    <col min="15108" max="15108" width="10" style="1181" customWidth="1"/>
    <col min="15109" max="15109" width="11.140625" style="1181" customWidth="1"/>
    <col min="15110" max="15110" width="10.28515625" style="1181" bestFit="1" customWidth="1"/>
    <col min="15111" max="15111" width="10.140625" style="1181" bestFit="1" customWidth="1"/>
    <col min="15112" max="15112" width="12" style="1181" bestFit="1" customWidth="1"/>
    <col min="15113" max="15113" width="14.28515625" style="1181" bestFit="1" customWidth="1"/>
    <col min="15114" max="15114" width="13.5703125" style="1181" bestFit="1" customWidth="1"/>
    <col min="15115" max="15115" width="13.85546875" style="1181" bestFit="1" customWidth="1"/>
    <col min="15116" max="15358" width="9.140625" style="1181"/>
    <col min="15359" max="15359" width="4.42578125" style="1181" customWidth="1"/>
    <col min="15360" max="15360" width="46.85546875" style="1181" customWidth="1"/>
    <col min="15361" max="15361" width="11.28515625" style="1181" bestFit="1" customWidth="1"/>
    <col min="15362" max="15362" width="11.42578125" style="1181" bestFit="1" customWidth="1"/>
    <col min="15363" max="15363" width="11.85546875" style="1181" customWidth="1"/>
    <col min="15364" max="15364" width="10" style="1181" customWidth="1"/>
    <col min="15365" max="15365" width="11.140625" style="1181" customWidth="1"/>
    <col min="15366" max="15366" width="10.28515625" style="1181" bestFit="1" customWidth="1"/>
    <col min="15367" max="15367" width="10.140625" style="1181" bestFit="1" customWidth="1"/>
    <col min="15368" max="15368" width="12" style="1181" bestFit="1" customWidth="1"/>
    <col min="15369" max="15369" width="14.28515625" style="1181" bestFit="1" customWidth="1"/>
    <col min="15370" max="15370" width="13.5703125" style="1181" bestFit="1" customWidth="1"/>
    <col min="15371" max="15371" width="13.85546875" style="1181" bestFit="1" customWidth="1"/>
    <col min="15372" max="15614" width="9.140625" style="1181"/>
    <col min="15615" max="15615" width="4.42578125" style="1181" customWidth="1"/>
    <col min="15616" max="15616" width="46.85546875" style="1181" customWidth="1"/>
    <col min="15617" max="15617" width="11.28515625" style="1181" bestFit="1" customWidth="1"/>
    <col min="15618" max="15618" width="11.42578125" style="1181" bestFit="1" customWidth="1"/>
    <col min="15619" max="15619" width="11.85546875" style="1181" customWidth="1"/>
    <col min="15620" max="15620" width="10" style="1181" customWidth="1"/>
    <col min="15621" max="15621" width="11.140625" style="1181" customWidth="1"/>
    <col min="15622" max="15622" width="10.28515625" style="1181" bestFit="1" customWidth="1"/>
    <col min="15623" max="15623" width="10.140625" style="1181" bestFit="1" customWidth="1"/>
    <col min="15624" max="15624" width="12" style="1181" bestFit="1" customWidth="1"/>
    <col min="15625" max="15625" width="14.28515625" style="1181" bestFit="1" customWidth="1"/>
    <col min="15626" max="15626" width="13.5703125" style="1181" bestFit="1" customWidth="1"/>
    <col min="15627" max="15627" width="13.85546875" style="1181" bestFit="1" customWidth="1"/>
    <col min="15628" max="15870" width="9.140625" style="1181"/>
    <col min="15871" max="15871" width="4.42578125" style="1181" customWidth="1"/>
    <col min="15872" max="15872" width="46.85546875" style="1181" customWidth="1"/>
    <col min="15873" max="15873" width="11.28515625" style="1181" bestFit="1" customWidth="1"/>
    <col min="15874" max="15874" width="11.42578125" style="1181" bestFit="1" customWidth="1"/>
    <col min="15875" max="15875" width="11.85546875" style="1181" customWidth="1"/>
    <col min="15876" max="15876" width="10" style="1181" customWidth="1"/>
    <col min="15877" max="15877" width="11.140625" style="1181" customWidth="1"/>
    <col min="15878" max="15878" width="10.28515625" style="1181" bestFit="1" customWidth="1"/>
    <col min="15879" max="15879" width="10.140625" style="1181" bestFit="1" customWidth="1"/>
    <col min="15880" max="15880" width="12" style="1181" bestFit="1" customWidth="1"/>
    <col min="15881" max="15881" width="14.28515625" style="1181" bestFit="1" customWidth="1"/>
    <col min="15882" max="15882" width="13.5703125" style="1181" bestFit="1" customWidth="1"/>
    <col min="15883" max="15883" width="13.85546875" style="1181" bestFit="1" customWidth="1"/>
    <col min="15884" max="16126" width="9.140625" style="1181"/>
    <col min="16127" max="16127" width="4.42578125" style="1181" customWidth="1"/>
    <col min="16128" max="16128" width="46.85546875" style="1181" customWidth="1"/>
    <col min="16129" max="16129" width="11.28515625" style="1181" bestFit="1" customWidth="1"/>
    <col min="16130" max="16130" width="11.42578125" style="1181" bestFit="1" customWidth="1"/>
    <col min="16131" max="16131" width="11.85546875" style="1181" customWidth="1"/>
    <col min="16132" max="16132" width="10" style="1181" customWidth="1"/>
    <col min="16133" max="16133" width="11.140625" style="1181" customWidth="1"/>
    <col min="16134" max="16134" width="10.28515625" style="1181" bestFit="1" customWidth="1"/>
    <col min="16135" max="16135" width="10.140625" style="1181" bestFit="1" customWidth="1"/>
    <col min="16136" max="16136" width="12" style="1181" bestFit="1" customWidth="1"/>
    <col min="16137" max="16137" width="14.28515625" style="1181" bestFit="1" customWidth="1"/>
    <col min="16138" max="16138" width="13.5703125" style="1181" bestFit="1" customWidth="1"/>
    <col min="16139" max="16139" width="13.85546875" style="1181" bestFit="1" customWidth="1"/>
    <col min="16140" max="16384" width="9.140625" style="1181"/>
  </cols>
  <sheetData>
    <row r="1" spans="1:11" s="1340" customFormat="1" ht="16.5" customHeight="1">
      <c r="H1" s="1341"/>
      <c r="I1" s="1341"/>
    </row>
    <row r="2" spans="1:11" ht="51" customHeight="1">
      <c r="A2" s="1901" t="s">
        <v>157</v>
      </c>
      <c r="B2" s="1905" t="s">
        <v>84</v>
      </c>
      <c r="C2" s="1903" t="s">
        <v>1122</v>
      </c>
      <c r="D2" s="1903" t="s">
        <v>1156</v>
      </c>
      <c r="E2" s="1894" t="s">
        <v>1157</v>
      </c>
      <c r="F2" s="1894" t="s">
        <v>1124</v>
      </c>
      <c r="G2" s="1894" t="s">
        <v>1125</v>
      </c>
      <c r="H2" s="1895" t="s">
        <v>1161</v>
      </c>
      <c r="I2" s="1890" t="s">
        <v>1162</v>
      </c>
      <c r="J2" s="1890" t="s">
        <v>909</v>
      </c>
      <c r="K2" s="1890" t="s">
        <v>1130</v>
      </c>
    </row>
    <row r="3" spans="1:11" ht="130.5" customHeight="1">
      <c r="A3" s="1902"/>
      <c r="B3" s="1901"/>
      <c r="C3" s="1904"/>
      <c r="D3" s="1904"/>
      <c r="E3" s="1894"/>
      <c r="F3" s="1894"/>
      <c r="G3" s="1894"/>
      <c r="H3" s="1896"/>
      <c r="I3" s="1891"/>
      <c r="J3" s="1891"/>
      <c r="K3" s="1891"/>
    </row>
    <row r="4" spans="1:11" ht="16.5" customHeight="1">
      <c r="A4" s="1343"/>
      <c r="B4" s="1344"/>
      <c r="C4" s="1344">
        <v>1</v>
      </c>
      <c r="D4" s="1344">
        <f>C4+1</f>
        <v>2</v>
      </c>
      <c r="E4" s="1344">
        <f t="shared" ref="E4:K4" si="0">D4+1</f>
        <v>3</v>
      </c>
      <c r="F4" s="1344">
        <f t="shared" si="0"/>
        <v>4</v>
      </c>
      <c r="G4" s="1344">
        <f t="shared" si="0"/>
        <v>5</v>
      </c>
      <c r="H4" s="1344">
        <f t="shared" si="0"/>
        <v>6</v>
      </c>
      <c r="I4" s="1344">
        <f t="shared" si="0"/>
        <v>7</v>
      </c>
      <c r="J4" s="1344">
        <f t="shared" si="0"/>
        <v>8</v>
      </c>
      <c r="K4" s="1344">
        <f t="shared" si="0"/>
        <v>9</v>
      </c>
    </row>
    <row r="5" spans="1:11" s="1350" customFormat="1" ht="51" customHeight="1">
      <c r="A5" s="1343"/>
      <c r="B5" s="1344"/>
      <c r="C5" s="1346" t="s">
        <v>1132</v>
      </c>
      <c r="D5" s="1346" t="s">
        <v>1132</v>
      </c>
      <c r="E5" s="1346" t="s">
        <v>1133</v>
      </c>
      <c r="F5" s="1345" t="s">
        <v>1149</v>
      </c>
      <c r="G5" s="1345" t="s">
        <v>1150</v>
      </c>
      <c r="H5" s="1347" t="s">
        <v>1136</v>
      </c>
      <c r="I5" s="1349" t="s">
        <v>1155</v>
      </c>
      <c r="J5" s="1345" t="s">
        <v>1140</v>
      </c>
      <c r="K5" s="1345" t="s">
        <v>1141</v>
      </c>
    </row>
    <row r="6" spans="1:11" ht="16.5" customHeight="1">
      <c r="A6" s="1186">
        <v>1</v>
      </c>
      <c r="B6" s="1186" t="s">
        <v>911</v>
      </c>
      <c r="C6" s="1351">
        <v>1.4683200000000001</v>
      </c>
      <c r="D6" s="1351">
        <v>1.4683200000000001</v>
      </c>
      <c r="E6" s="1352">
        <f>D6-C6</f>
        <v>0</v>
      </c>
      <c r="F6" s="1352">
        <f>IF(E6&gt;0,E6,0)</f>
        <v>0</v>
      </c>
      <c r="G6" s="1468">
        <f>IF(E6&lt;0,E6,0)</f>
        <v>0</v>
      </c>
      <c r="H6" s="1353">
        <f>'Table 5E_OJJ'!F7*0.5</f>
        <v>4325.3920954962141</v>
      </c>
      <c r="I6" s="1354">
        <f>E6*H6</f>
        <v>0</v>
      </c>
      <c r="J6" s="1353">
        <f>IF(I6&gt;0,I6,0)</f>
        <v>0</v>
      </c>
      <c r="K6" s="1353">
        <f>IF(I6&lt;0,I6,0)</f>
        <v>0</v>
      </c>
    </row>
    <row r="7" spans="1:11" ht="16.5" customHeight="1">
      <c r="A7" s="1186">
        <v>2</v>
      </c>
      <c r="B7" s="1186" t="s">
        <v>912</v>
      </c>
      <c r="C7" s="1351">
        <v>0</v>
      </c>
      <c r="D7" s="1351">
        <v>0</v>
      </c>
      <c r="E7" s="1352">
        <f t="shared" ref="E7:E70" si="1">D7-C7</f>
        <v>0</v>
      </c>
      <c r="F7" s="1352">
        <f t="shared" ref="F7:F70" si="2">IF(E7&gt;0,E7,0)</f>
        <v>0</v>
      </c>
      <c r="G7" s="1468">
        <f t="shared" ref="G7:G70" si="3">IF(E7&lt;0,E7,0)</f>
        <v>0</v>
      </c>
      <c r="H7" s="1353">
        <f>'Table 5E_OJJ'!F8*0.5</f>
        <v>5271.4730619221373</v>
      </c>
      <c r="I7" s="1354">
        <f t="shared" ref="I7:I70" si="4">E7*H7</f>
        <v>0</v>
      </c>
      <c r="J7" s="1353">
        <f t="shared" ref="J7:J70" si="5">IF(I7&gt;0,I7,0)</f>
        <v>0</v>
      </c>
      <c r="K7" s="1353">
        <f t="shared" ref="K7:K70" si="6">IF(I7&lt;0,I7,0)</f>
        <v>0</v>
      </c>
    </row>
    <row r="8" spans="1:11" ht="16.5" customHeight="1">
      <c r="A8" s="1186">
        <v>3</v>
      </c>
      <c r="B8" s="1186" t="s">
        <v>913</v>
      </c>
      <c r="C8" s="1355">
        <v>1.056</v>
      </c>
      <c r="D8" s="1355">
        <v>1.056</v>
      </c>
      <c r="E8" s="1352">
        <f t="shared" si="1"/>
        <v>0</v>
      </c>
      <c r="F8" s="1352">
        <f t="shared" si="2"/>
        <v>0</v>
      </c>
      <c r="G8" s="1468">
        <f t="shared" si="3"/>
        <v>0</v>
      </c>
      <c r="H8" s="1353">
        <f>'Table 5E_OJJ'!F9*0.5</f>
        <v>3842.7518802142918</v>
      </c>
      <c r="I8" s="1354">
        <f t="shared" si="4"/>
        <v>0</v>
      </c>
      <c r="J8" s="1356">
        <f t="shared" si="5"/>
        <v>0</v>
      </c>
      <c r="K8" s="1356">
        <f t="shared" si="6"/>
        <v>0</v>
      </c>
    </row>
    <row r="9" spans="1:11" ht="16.5" customHeight="1">
      <c r="A9" s="1186">
        <v>4</v>
      </c>
      <c r="B9" s="1186" t="s">
        <v>914</v>
      </c>
      <c r="C9" s="1355">
        <v>2.3982039999999998</v>
      </c>
      <c r="D9" s="1355">
        <v>2.3982039999999998</v>
      </c>
      <c r="E9" s="1352">
        <f t="shared" si="1"/>
        <v>0</v>
      </c>
      <c r="F9" s="1352">
        <f t="shared" si="2"/>
        <v>0</v>
      </c>
      <c r="G9" s="1468">
        <f t="shared" si="3"/>
        <v>0</v>
      </c>
      <c r="H9" s="1353">
        <f>'Table 5E_OJJ'!F10*0.5</f>
        <v>5097.4810490361542</v>
      </c>
      <c r="I9" s="1354">
        <f t="shared" si="4"/>
        <v>0</v>
      </c>
      <c r="J9" s="1356">
        <f t="shared" si="5"/>
        <v>0</v>
      </c>
      <c r="K9" s="1356">
        <f t="shared" si="6"/>
        <v>0</v>
      </c>
    </row>
    <row r="10" spans="1:11" ht="16.5" customHeight="1">
      <c r="A10" s="1192">
        <v>5</v>
      </c>
      <c r="B10" s="1192" t="s">
        <v>915</v>
      </c>
      <c r="C10" s="1358">
        <v>6.4742829999999998</v>
      </c>
      <c r="D10" s="1358">
        <v>6.4742829999999998</v>
      </c>
      <c r="E10" s="1359">
        <f t="shared" si="1"/>
        <v>0</v>
      </c>
      <c r="F10" s="1359">
        <f t="shared" si="2"/>
        <v>0</v>
      </c>
      <c r="G10" s="1470">
        <f t="shared" si="3"/>
        <v>0</v>
      </c>
      <c r="H10" s="1360">
        <f>'Table 5E_OJJ'!F11*0.5</f>
        <v>4313.5291753540241</v>
      </c>
      <c r="I10" s="1362">
        <f t="shared" si="4"/>
        <v>0</v>
      </c>
      <c r="J10" s="1361">
        <f t="shared" si="5"/>
        <v>0</v>
      </c>
      <c r="K10" s="1361">
        <f t="shared" si="6"/>
        <v>0</v>
      </c>
    </row>
    <row r="11" spans="1:11" ht="16.5" customHeight="1">
      <c r="A11" s="1186">
        <v>6</v>
      </c>
      <c r="B11" s="1186" t="s">
        <v>916</v>
      </c>
      <c r="C11" s="1351">
        <v>1.1776009999999999</v>
      </c>
      <c r="D11" s="1351">
        <v>1.1776009999999999</v>
      </c>
      <c r="E11" s="1352">
        <f t="shared" si="1"/>
        <v>0</v>
      </c>
      <c r="F11" s="1352">
        <f t="shared" si="2"/>
        <v>0</v>
      </c>
      <c r="G11" s="1468">
        <f t="shared" si="3"/>
        <v>0</v>
      </c>
      <c r="H11" s="1353">
        <f>'Table 5E_OJJ'!F12*0.5</f>
        <v>4803.712059923937</v>
      </c>
      <c r="I11" s="1354">
        <f t="shared" si="4"/>
        <v>0</v>
      </c>
      <c r="J11" s="1353">
        <f t="shared" si="5"/>
        <v>0</v>
      </c>
      <c r="K11" s="1353">
        <f t="shared" si="6"/>
        <v>0</v>
      </c>
    </row>
    <row r="12" spans="1:11" ht="16.5" customHeight="1">
      <c r="A12" s="1186">
        <v>7</v>
      </c>
      <c r="B12" s="1186" t="s">
        <v>917</v>
      </c>
      <c r="C12" s="1351">
        <v>0.25905299999999998</v>
      </c>
      <c r="D12" s="1351">
        <v>0.25905299999999998</v>
      </c>
      <c r="E12" s="1352">
        <f t="shared" si="1"/>
        <v>0</v>
      </c>
      <c r="F12" s="1352">
        <f t="shared" si="2"/>
        <v>0</v>
      </c>
      <c r="G12" s="1468">
        <f t="shared" si="3"/>
        <v>0</v>
      </c>
      <c r="H12" s="1353">
        <f>'Table 5E_OJJ'!F13*0.5</f>
        <v>2246.96908265824</v>
      </c>
      <c r="I12" s="1354">
        <f t="shared" si="4"/>
        <v>0</v>
      </c>
      <c r="J12" s="1353">
        <f t="shared" si="5"/>
        <v>0</v>
      </c>
      <c r="K12" s="1353">
        <f t="shared" si="6"/>
        <v>0</v>
      </c>
    </row>
    <row r="13" spans="1:11" ht="16.5" customHeight="1">
      <c r="A13" s="1186">
        <v>8</v>
      </c>
      <c r="B13" s="1186" t="s">
        <v>918</v>
      </c>
      <c r="C13" s="1355">
        <v>1.1160000000000001</v>
      </c>
      <c r="D13" s="1355">
        <v>1.1160000000000001</v>
      </c>
      <c r="E13" s="1352">
        <f t="shared" si="1"/>
        <v>0</v>
      </c>
      <c r="F13" s="1352">
        <f t="shared" si="2"/>
        <v>0</v>
      </c>
      <c r="G13" s="1468">
        <f t="shared" si="3"/>
        <v>0</v>
      </c>
      <c r="H13" s="1353">
        <f>'Table 5E_OJJ'!F14*0.5</f>
        <v>3846.5132902977571</v>
      </c>
      <c r="I13" s="1354">
        <f t="shared" si="4"/>
        <v>0</v>
      </c>
      <c r="J13" s="1356">
        <f t="shared" si="5"/>
        <v>0</v>
      </c>
      <c r="K13" s="1356">
        <f t="shared" si="6"/>
        <v>0</v>
      </c>
    </row>
    <row r="14" spans="1:11" ht="16.5" customHeight="1">
      <c r="A14" s="1186">
        <v>9</v>
      </c>
      <c r="B14" s="1186" t="s">
        <v>919</v>
      </c>
      <c r="C14" s="1355">
        <v>35.732145000000003</v>
      </c>
      <c r="D14" s="1355">
        <v>35.732145000000003</v>
      </c>
      <c r="E14" s="1352">
        <f t="shared" si="1"/>
        <v>0</v>
      </c>
      <c r="F14" s="1352">
        <f t="shared" si="2"/>
        <v>0</v>
      </c>
      <c r="G14" s="1468">
        <f t="shared" si="3"/>
        <v>0</v>
      </c>
      <c r="H14" s="1356">
        <f>'Table 5E_OJJ'!F15*0.5</f>
        <v>4111.4827604364727</v>
      </c>
      <c r="I14" s="1354">
        <f t="shared" si="4"/>
        <v>0</v>
      </c>
      <c r="J14" s="1365">
        <f t="shared" si="5"/>
        <v>0</v>
      </c>
      <c r="K14" s="1365">
        <f t="shared" si="6"/>
        <v>0</v>
      </c>
    </row>
    <row r="15" spans="1:11" ht="16.5" customHeight="1">
      <c r="A15" s="1192">
        <v>10</v>
      </c>
      <c r="B15" s="1192" t="s">
        <v>686</v>
      </c>
      <c r="C15" s="1358">
        <v>5.0043819999999997</v>
      </c>
      <c r="D15" s="1358">
        <v>5.0043819999999997</v>
      </c>
      <c r="E15" s="1359">
        <f t="shared" si="1"/>
        <v>0</v>
      </c>
      <c r="F15" s="1359">
        <f t="shared" si="2"/>
        <v>0</v>
      </c>
      <c r="G15" s="1470">
        <f t="shared" si="3"/>
        <v>0</v>
      </c>
      <c r="H15" s="1361">
        <f>'Table 5E_OJJ'!F16*0.5</f>
        <v>3973.6000931501112</v>
      </c>
      <c r="I15" s="1362">
        <f t="shared" si="4"/>
        <v>0</v>
      </c>
      <c r="J15" s="1366">
        <f t="shared" si="5"/>
        <v>0</v>
      </c>
      <c r="K15" s="1366">
        <f t="shared" si="6"/>
        <v>0</v>
      </c>
    </row>
    <row r="16" spans="1:11" ht="16.5" customHeight="1">
      <c r="A16" s="1186">
        <v>11</v>
      </c>
      <c r="B16" s="1186" t="s">
        <v>920</v>
      </c>
      <c r="C16" s="1351">
        <v>0</v>
      </c>
      <c r="D16" s="1351">
        <v>0</v>
      </c>
      <c r="E16" s="1352">
        <f t="shared" si="1"/>
        <v>0</v>
      </c>
      <c r="F16" s="1352">
        <f t="shared" si="2"/>
        <v>0</v>
      </c>
      <c r="G16" s="1468">
        <f t="shared" si="3"/>
        <v>0</v>
      </c>
      <c r="H16" s="1353">
        <f>'Table 5E_OJJ'!F17*0.5</f>
        <v>5588.62577701177</v>
      </c>
      <c r="I16" s="1354">
        <f t="shared" si="4"/>
        <v>0</v>
      </c>
      <c r="J16" s="1365">
        <f t="shared" si="5"/>
        <v>0</v>
      </c>
      <c r="K16" s="1365">
        <f t="shared" si="6"/>
        <v>0</v>
      </c>
    </row>
    <row r="17" spans="1:11" ht="16.5" customHeight="1">
      <c r="A17" s="1186">
        <v>12</v>
      </c>
      <c r="B17" s="1186" t="s">
        <v>921</v>
      </c>
      <c r="C17" s="1351">
        <v>0</v>
      </c>
      <c r="D17" s="1351">
        <v>0</v>
      </c>
      <c r="E17" s="1352">
        <f t="shared" si="1"/>
        <v>0</v>
      </c>
      <c r="F17" s="1352">
        <f t="shared" si="2"/>
        <v>0</v>
      </c>
      <c r="G17" s="1468">
        <f t="shared" si="3"/>
        <v>0</v>
      </c>
      <c r="H17" s="1353">
        <f>'Table 5E_OJJ'!F18*0.5</f>
        <v>2505.6025339801226</v>
      </c>
      <c r="I17" s="1354">
        <f t="shared" si="4"/>
        <v>0</v>
      </c>
      <c r="J17" s="1365">
        <f t="shared" si="5"/>
        <v>0</v>
      </c>
      <c r="K17" s="1365">
        <f t="shared" si="6"/>
        <v>0</v>
      </c>
    </row>
    <row r="18" spans="1:11" ht="16.5" customHeight="1">
      <c r="A18" s="1186">
        <v>13</v>
      </c>
      <c r="B18" s="1186" t="s">
        <v>922</v>
      </c>
      <c r="C18" s="1355">
        <v>0</v>
      </c>
      <c r="D18" s="1355">
        <v>0</v>
      </c>
      <c r="E18" s="1352">
        <f t="shared" si="1"/>
        <v>0</v>
      </c>
      <c r="F18" s="1352">
        <f t="shared" si="2"/>
        <v>0</v>
      </c>
      <c r="G18" s="1468">
        <f t="shared" si="3"/>
        <v>0</v>
      </c>
      <c r="H18" s="1356">
        <f>'Table 5E_OJJ'!F19*0.5</f>
        <v>5161.8277811950829</v>
      </c>
      <c r="I18" s="1354">
        <f t="shared" si="4"/>
        <v>0</v>
      </c>
      <c r="J18" s="1365">
        <f t="shared" si="5"/>
        <v>0</v>
      </c>
      <c r="K18" s="1365">
        <f t="shared" si="6"/>
        <v>0</v>
      </c>
    </row>
    <row r="19" spans="1:11" ht="16.5" customHeight="1">
      <c r="A19" s="1186">
        <v>14</v>
      </c>
      <c r="B19" s="1186" t="s">
        <v>923</v>
      </c>
      <c r="C19" s="1355">
        <v>0.22562699999999999</v>
      </c>
      <c r="D19" s="1355">
        <v>0.22562699999999999</v>
      </c>
      <c r="E19" s="1352">
        <f t="shared" si="1"/>
        <v>0</v>
      </c>
      <c r="F19" s="1352">
        <f t="shared" si="2"/>
        <v>0</v>
      </c>
      <c r="G19" s="1468">
        <f t="shared" si="3"/>
        <v>0</v>
      </c>
      <c r="H19" s="1356">
        <f>'Table 5E_OJJ'!F20*0.5</f>
        <v>5052.2281158902579</v>
      </c>
      <c r="I19" s="1354">
        <f t="shared" si="4"/>
        <v>0</v>
      </c>
      <c r="J19" s="1365">
        <f t="shared" si="5"/>
        <v>0</v>
      </c>
      <c r="K19" s="1365">
        <f t="shared" si="6"/>
        <v>0</v>
      </c>
    </row>
    <row r="20" spans="1:11" ht="16.5" customHeight="1">
      <c r="A20" s="1192">
        <v>15</v>
      </c>
      <c r="B20" s="1192" t="s">
        <v>924</v>
      </c>
      <c r="C20" s="1358">
        <v>1.0974930000000001</v>
      </c>
      <c r="D20" s="1358">
        <v>1.0974930000000001</v>
      </c>
      <c r="E20" s="1359">
        <f t="shared" si="1"/>
        <v>0</v>
      </c>
      <c r="F20" s="1359">
        <f t="shared" si="2"/>
        <v>0</v>
      </c>
      <c r="G20" s="1470">
        <f t="shared" si="3"/>
        <v>0</v>
      </c>
      <c r="H20" s="1361">
        <f>'Table 5E_OJJ'!F21*0.5</f>
        <v>4652.9812108069318</v>
      </c>
      <c r="I20" s="1362">
        <f t="shared" si="4"/>
        <v>0</v>
      </c>
      <c r="J20" s="1366">
        <f t="shared" si="5"/>
        <v>0</v>
      </c>
      <c r="K20" s="1366">
        <f t="shared" si="6"/>
        <v>0</v>
      </c>
    </row>
    <row r="21" spans="1:11" ht="16.5" customHeight="1">
      <c r="A21" s="1186">
        <v>16</v>
      </c>
      <c r="B21" s="1186" t="s">
        <v>925</v>
      </c>
      <c r="C21" s="1351">
        <v>3.0294940000000001</v>
      </c>
      <c r="D21" s="1351">
        <v>3.0294940000000001</v>
      </c>
      <c r="E21" s="1352">
        <f t="shared" si="1"/>
        <v>0</v>
      </c>
      <c r="F21" s="1352">
        <f t="shared" si="2"/>
        <v>0</v>
      </c>
      <c r="G21" s="1468">
        <f t="shared" si="3"/>
        <v>0</v>
      </c>
      <c r="H21" s="1353">
        <f>'Table 5E_OJJ'!F22*0.5</f>
        <v>2183.1473561012531</v>
      </c>
      <c r="I21" s="1354">
        <f t="shared" si="4"/>
        <v>0</v>
      </c>
      <c r="J21" s="1365">
        <f t="shared" si="5"/>
        <v>0</v>
      </c>
      <c r="K21" s="1365">
        <f t="shared" si="6"/>
        <v>0</v>
      </c>
    </row>
    <row r="22" spans="1:11" ht="16.5" customHeight="1">
      <c r="A22" s="1186">
        <v>17</v>
      </c>
      <c r="B22" s="1186" t="s">
        <v>639</v>
      </c>
      <c r="C22" s="1355">
        <v>39.806348999999997</v>
      </c>
      <c r="D22" s="1355">
        <v>39.806348999999997</v>
      </c>
      <c r="E22" s="1352">
        <f t="shared" si="1"/>
        <v>0</v>
      </c>
      <c r="F22" s="1352">
        <f t="shared" si="2"/>
        <v>0</v>
      </c>
      <c r="G22" s="1468">
        <f t="shared" si="3"/>
        <v>0</v>
      </c>
      <c r="H22" s="1356">
        <f>'Table 5E_OJJ'!F23*0.5</f>
        <v>3412.6884344064242</v>
      </c>
      <c r="I22" s="1354">
        <f t="shared" si="4"/>
        <v>0</v>
      </c>
      <c r="J22" s="1365">
        <f t="shared" si="5"/>
        <v>0</v>
      </c>
      <c r="K22" s="1365">
        <f t="shared" si="6"/>
        <v>0</v>
      </c>
    </row>
    <row r="23" spans="1:11" ht="16.5" customHeight="1">
      <c r="A23" s="1186">
        <v>18</v>
      </c>
      <c r="B23" s="1186" t="s">
        <v>926</v>
      </c>
      <c r="C23" s="1355">
        <v>3.948747</v>
      </c>
      <c r="D23" s="1355">
        <v>3.948747</v>
      </c>
      <c r="E23" s="1352">
        <f t="shared" si="1"/>
        <v>0</v>
      </c>
      <c r="F23" s="1352">
        <f t="shared" si="2"/>
        <v>0</v>
      </c>
      <c r="G23" s="1468">
        <f t="shared" si="3"/>
        <v>0</v>
      </c>
      <c r="H23" s="1356">
        <f>'Table 5E_OJJ'!F24*0.5</f>
        <v>5089.3089267364267</v>
      </c>
      <c r="I23" s="1354">
        <f t="shared" si="4"/>
        <v>0</v>
      </c>
      <c r="J23" s="1365">
        <f t="shared" si="5"/>
        <v>0</v>
      </c>
      <c r="K23" s="1365">
        <f t="shared" si="6"/>
        <v>0</v>
      </c>
    </row>
    <row r="24" spans="1:11" ht="16.5" customHeight="1">
      <c r="A24" s="1186">
        <v>19</v>
      </c>
      <c r="B24" s="1186" t="s">
        <v>927</v>
      </c>
      <c r="C24" s="1355">
        <v>0.47386200000000001</v>
      </c>
      <c r="D24" s="1355">
        <v>0.47386200000000001</v>
      </c>
      <c r="E24" s="1352">
        <f t="shared" si="1"/>
        <v>0</v>
      </c>
      <c r="F24" s="1352">
        <f t="shared" si="2"/>
        <v>0</v>
      </c>
      <c r="G24" s="1468">
        <f t="shared" si="3"/>
        <v>0</v>
      </c>
      <c r="H24" s="1356">
        <f>'Table 5E_OJJ'!F25*0.5</f>
        <v>4756.459469722271</v>
      </c>
      <c r="I24" s="1354">
        <f t="shared" si="4"/>
        <v>0</v>
      </c>
      <c r="J24" s="1365">
        <f t="shared" si="5"/>
        <v>0</v>
      </c>
      <c r="K24" s="1365">
        <f t="shared" si="6"/>
        <v>0</v>
      </c>
    </row>
    <row r="25" spans="1:11" ht="16.5" customHeight="1">
      <c r="A25" s="1192">
        <v>20</v>
      </c>
      <c r="B25" s="1192" t="s">
        <v>928</v>
      </c>
      <c r="C25" s="1358">
        <v>6.8221930000000004</v>
      </c>
      <c r="D25" s="1358">
        <v>6.8221930000000004</v>
      </c>
      <c r="E25" s="1359">
        <f t="shared" si="1"/>
        <v>0</v>
      </c>
      <c r="F25" s="1359">
        <f t="shared" si="2"/>
        <v>0</v>
      </c>
      <c r="G25" s="1470">
        <f t="shared" si="3"/>
        <v>0</v>
      </c>
      <c r="H25" s="1361">
        <f>'Table 5E_OJJ'!F26*0.5</f>
        <v>4700.3635044109542</v>
      </c>
      <c r="I25" s="1362">
        <f t="shared" si="4"/>
        <v>0</v>
      </c>
      <c r="J25" s="1366">
        <f t="shared" si="5"/>
        <v>0</v>
      </c>
      <c r="K25" s="1366">
        <f t="shared" si="6"/>
        <v>0</v>
      </c>
    </row>
    <row r="26" spans="1:11" ht="16.5" customHeight="1">
      <c r="A26" s="1186">
        <v>21</v>
      </c>
      <c r="B26" s="1186" t="s">
        <v>929</v>
      </c>
      <c r="C26" s="1351">
        <v>7.6798890000000002</v>
      </c>
      <c r="D26" s="1351">
        <v>7.6798890000000002</v>
      </c>
      <c r="E26" s="1352">
        <f t="shared" si="1"/>
        <v>0</v>
      </c>
      <c r="F26" s="1352">
        <f t="shared" si="2"/>
        <v>0</v>
      </c>
      <c r="G26" s="1468">
        <f t="shared" si="3"/>
        <v>0</v>
      </c>
      <c r="H26" s="1353">
        <f>'Table 5E_OJJ'!F27*0.5</f>
        <v>4835.3524404558557</v>
      </c>
      <c r="I26" s="1354">
        <f t="shared" si="4"/>
        <v>0</v>
      </c>
      <c r="J26" s="1365">
        <f t="shared" si="5"/>
        <v>0</v>
      </c>
      <c r="K26" s="1365">
        <f t="shared" si="6"/>
        <v>0</v>
      </c>
    </row>
    <row r="27" spans="1:11" ht="16.5" customHeight="1">
      <c r="A27" s="1186">
        <v>22</v>
      </c>
      <c r="B27" s="1186" t="s">
        <v>930</v>
      </c>
      <c r="C27" s="1351">
        <v>0.27600000000000002</v>
      </c>
      <c r="D27" s="1351">
        <v>0.27600000000000002</v>
      </c>
      <c r="E27" s="1352">
        <f t="shared" si="1"/>
        <v>0</v>
      </c>
      <c r="F27" s="1352">
        <f t="shared" si="2"/>
        <v>0</v>
      </c>
      <c r="G27" s="1468">
        <f t="shared" si="3"/>
        <v>0</v>
      </c>
      <c r="H27" s="1353">
        <f>'Table 5E_OJJ'!F28*0.5</f>
        <v>5133.6169219625217</v>
      </c>
      <c r="I27" s="1354">
        <f t="shared" si="4"/>
        <v>0</v>
      </c>
      <c r="J27" s="1365">
        <f t="shared" si="5"/>
        <v>0</v>
      </c>
      <c r="K27" s="1365">
        <f t="shared" si="6"/>
        <v>0</v>
      </c>
    </row>
    <row r="28" spans="1:11" ht="16.5" customHeight="1">
      <c r="A28" s="1186">
        <v>23</v>
      </c>
      <c r="B28" s="1186" t="s">
        <v>931</v>
      </c>
      <c r="C28" s="1355">
        <v>7.0398649999999998</v>
      </c>
      <c r="D28" s="1355">
        <v>7.0398649999999998</v>
      </c>
      <c r="E28" s="1352">
        <f t="shared" si="1"/>
        <v>0</v>
      </c>
      <c r="F28" s="1352">
        <f t="shared" si="2"/>
        <v>0</v>
      </c>
      <c r="G28" s="1468">
        <f t="shared" si="3"/>
        <v>0</v>
      </c>
      <c r="H28" s="1356">
        <f>'Table 5E_OJJ'!F29*0.5</f>
        <v>4367.0050756024693</v>
      </c>
      <c r="I28" s="1354">
        <f t="shared" si="4"/>
        <v>0</v>
      </c>
      <c r="J28" s="1365">
        <f t="shared" si="5"/>
        <v>0</v>
      </c>
      <c r="K28" s="1365">
        <f t="shared" si="6"/>
        <v>0</v>
      </c>
    </row>
    <row r="29" spans="1:11" ht="16.5" customHeight="1">
      <c r="A29" s="1186">
        <v>24</v>
      </c>
      <c r="B29" s="1186" t="s">
        <v>932</v>
      </c>
      <c r="C29" s="1355">
        <v>4.9623140000000001</v>
      </c>
      <c r="D29" s="1355">
        <v>4.9623140000000001</v>
      </c>
      <c r="E29" s="1352">
        <f t="shared" si="1"/>
        <v>0</v>
      </c>
      <c r="F29" s="1352">
        <f t="shared" si="2"/>
        <v>0</v>
      </c>
      <c r="G29" s="1468">
        <f t="shared" si="3"/>
        <v>0</v>
      </c>
      <c r="H29" s="1356">
        <f>'Table 5E_OJJ'!F30*0.5</f>
        <v>2939.3327615358398</v>
      </c>
      <c r="I29" s="1354">
        <f t="shared" si="4"/>
        <v>0</v>
      </c>
      <c r="J29" s="1365">
        <f t="shared" si="5"/>
        <v>0</v>
      </c>
      <c r="K29" s="1365">
        <f t="shared" si="6"/>
        <v>0</v>
      </c>
    </row>
    <row r="30" spans="1:11" ht="16.5" customHeight="1">
      <c r="A30" s="1192">
        <v>25</v>
      </c>
      <c r="B30" s="1192" t="s">
        <v>933</v>
      </c>
      <c r="C30" s="1358">
        <v>0</v>
      </c>
      <c r="D30" s="1358">
        <v>0</v>
      </c>
      <c r="E30" s="1359">
        <f t="shared" si="1"/>
        <v>0</v>
      </c>
      <c r="F30" s="1359">
        <f t="shared" si="2"/>
        <v>0</v>
      </c>
      <c r="G30" s="1470">
        <f t="shared" si="3"/>
        <v>0</v>
      </c>
      <c r="H30" s="1361">
        <f>'Table 5E_OJJ'!F31*0.5</f>
        <v>3579.2493523767107</v>
      </c>
      <c r="I30" s="1362">
        <f t="shared" si="4"/>
        <v>0</v>
      </c>
      <c r="J30" s="1366">
        <f t="shared" si="5"/>
        <v>0</v>
      </c>
      <c r="K30" s="1366">
        <f t="shared" si="6"/>
        <v>0</v>
      </c>
    </row>
    <row r="31" spans="1:11" ht="16.5" customHeight="1">
      <c r="A31" s="1186">
        <v>26</v>
      </c>
      <c r="B31" s="1186" t="s">
        <v>663</v>
      </c>
      <c r="C31" s="1351">
        <v>36.898733999999997</v>
      </c>
      <c r="D31" s="1351">
        <v>36.898733999999997</v>
      </c>
      <c r="E31" s="1352">
        <f t="shared" si="1"/>
        <v>0</v>
      </c>
      <c r="F31" s="1352">
        <f t="shared" si="2"/>
        <v>0</v>
      </c>
      <c r="G31" s="1468">
        <f t="shared" si="3"/>
        <v>0</v>
      </c>
      <c r="H31" s="1353">
        <f>'Table 5E_OJJ'!F32*0.5</f>
        <v>3359.502650297065</v>
      </c>
      <c r="I31" s="1354">
        <f t="shared" si="4"/>
        <v>0</v>
      </c>
      <c r="J31" s="1365">
        <f t="shared" si="5"/>
        <v>0</v>
      </c>
      <c r="K31" s="1365">
        <f t="shared" si="6"/>
        <v>0</v>
      </c>
    </row>
    <row r="32" spans="1:11" ht="16.5" customHeight="1">
      <c r="A32" s="1186">
        <v>27</v>
      </c>
      <c r="B32" s="1186" t="s">
        <v>934</v>
      </c>
      <c r="C32" s="1351">
        <v>0.32</v>
      </c>
      <c r="D32" s="1351">
        <v>0.32</v>
      </c>
      <c r="E32" s="1352">
        <f t="shared" si="1"/>
        <v>0</v>
      </c>
      <c r="F32" s="1352">
        <f t="shared" si="2"/>
        <v>0</v>
      </c>
      <c r="G32" s="1468">
        <f t="shared" si="3"/>
        <v>0</v>
      </c>
      <c r="H32" s="1353">
        <f>'Table 5E_OJJ'!F33*0.5</f>
        <v>4952.9093459285241</v>
      </c>
      <c r="I32" s="1354">
        <f t="shared" si="4"/>
        <v>0</v>
      </c>
      <c r="J32" s="1365">
        <f t="shared" si="5"/>
        <v>0</v>
      </c>
      <c r="K32" s="1365">
        <f t="shared" si="6"/>
        <v>0</v>
      </c>
    </row>
    <row r="33" spans="1:11" ht="16.5" customHeight="1">
      <c r="A33" s="1186">
        <v>28</v>
      </c>
      <c r="B33" s="1186" t="s">
        <v>935</v>
      </c>
      <c r="C33" s="1355">
        <v>6.9549709999999996</v>
      </c>
      <c r="D33" s="1355">
        <v>6.9549709999999996</v>
      </c>
      <c r="E33" s="1352">
        <f t="shared" si="1"/>
        <v>0</v>
      </c>
      <c r="F33" s="1352">
        <f t="shared" si="2"/>
        <v>0</v>
      </c>
      <c r="G33" s="1468">
        <f t="shared" si="3"/>
        <v>0</v>
      </c>
      <c r="H33" s="1356">
        <f>'Table 5E_OJJ'!F34*0.5</f>
        <v>3408.5824673303678</v>
      </c>
      <c r="I33" s="1354">
        <f t="shared" si="4"/>
        <v>0</v>
      </c>
      <c r="J33" s="1365">
        <f t="shared" si="5"/>
        <v>0</v>
      </c>
      <c r="K33" s="1365">
        <f t="shared" si="6"/>
        <v>0</v>
      </c>
    </row>
    <row r="34" spans="1:11" ht="16.5" customHeight="1">
      <c r="A34" s="1186">
        <v>29</v>
      </c>
      <c r="B34" s="1186" t="s">
        <v>936</v>
      </c>
      <c r="C34" s="1355">
        <v>16.490998000000001</v>
      </c>
      <c r="D34" s="1355">
        <v>16.490998000000001</v>
      </c>
      <c r="E34" s="1352">
        <f t="shared" si="1"/>
        <v>0</v>
      </c>
      <c r="F34" s="1352">
        <f t="shared" si="2"/>
        <v>0</v>
      </c>
      <c r="G34" s="1468">
        <f t="shared" si="3"/>
        <v>0</v>
      </c>
      <c r="H34" s="1356">
        <f>'Table 5E_OJJ'!F35*0.5</f>
        <v>3996.3615560126541</v>
      </c>
      <c r="I34" s="1354">
        <f t="shared" si="4"/>
        <v>0</v>
      </c>
      <c r="J34" s="1365">
        <f t="shared" si="5"/>
        <v>0</v>
      </c>
      <c r="K34" s="1365">
        <f t="shared" si="6"/>
        <v>0</v>
      </c>
    </row>
    <row r="35" spans="1:11" ht="16.5" customHeight="1">
      <c r="A35" s="1192">
        <v>30</v>
      </c>
      <c r="B35" s="1192" t="s">
        <v>937</v>
      </c>
      <c r="C35" s="1358">
        <v>0</v>
      </c>
      <c r="D35" s="1358">
        <v>0</v>
      </c>
      <c r="E35" s="1359">
        <f t="shared" si="1"/>
        <v>0</v>
      </c>
      <c r="F35" s="1359">
        <f t="shared" si="2"/>
        <v>0</v>
      </c>
      <c r="G35" s="1470">
        <f t="shared" si="3"/>
        <v>0</v>
      </c>
      <c r="H35" s="1361">
        <f>'Table 5E_OJJ'!F36*0.5</f>
        <v>5019.1447220932359</v>
      </c>
      <c r="I35" s="1362">
        <f t="shared" si="4"/>
        <v>0</v>
      </c>
      <c r="J35" s="1366">
        <f t="shared" si="5"/>
        <v>0</v>
      </c>
      <c r="K35" s="1366">
        <f t="shared" si="6"/>
        <v>0</v>
      </c>
    </row>
    <row r="36" spans="1:11" ht="16.5" customHeight="1">
      <c r="A36" s="1186">
        <v>31</v>
      </c>
      <c r="B36" s="1186" t="s">
        <v>654</v>
      </c>
      <c r="C36" s="1351">
        <v>2.799042</v>
      </c>
      <c r="D36" s="1351">
        <v>2.799042</v>
      </c>
      <c r="E36" s="1352">
        <f t="shared" si="1"/>
        <v>0</v>
      </c>
      <c r="F36" s="1352">
        <f t="shared" si="2"/>
        <v>0</v>
      </c>
      <c r="G36" s="1468">
        <f t="shared" si="3"/>
        <v>0</v>
      </c>
      <c r="H36" s="1353">
        <f>'Table 5E_OJJ'!F37*0.5</f>
        <v>3929.8498183429788</v>
      </c>
      <c r="I36" s="1354">
        <f t="shared" si="4"/>
        <v>0</v>
      </c>
      <c r="J36" s="1365">
        <f t="shared" si="5"/>
        <v>0</v>
      </c>
      <c r="K36" s="1365">
        <f t="shared" si="6"/>
        <v>0</v>
      </c>
    </row>
    <row r="37" spans="1:11" ht="16.5" customHeight="1">
      <c r="A37" s="1186">
        <v>32</v>
      </c>
      <c r="B37" s="1186" t="s">
        <v>640</v>
      </c>
      <c r="C37" s="1351">
        <v>1.4741550000000001</v>
      </c>
      <c r="D37" s="1351">
        <v>1.4741550000000001</v>
      </c>
      <c r="E37" s="1352">
        <f t="shared" si="1"/>
        <v>0</v>
      </c>
      <c r="F37" s="1352">
        <f t="shared" si="2"/>
        <v>0</v>
      </c>
      <c r="G37" s="1468">
        <f t="shared" si="3"/>
        <v>0</v>
      </c>
      <c r="H37" s="1353">
        <f>'Table 5E_OJJ'!F38*0.5</f>
        <v>4671.0882566473665</v>
      </c>
      <c r="I37" s="1354">
        <f t="shared" si="4"/>
        <v>0</v>
      </c>
      <c r="J37" s="1365">
        <f t="shared" si="5"/>
        <v>0</v>
      </c>
      <c r="K37" s="1365">
        <f t="shared" si="6"/>
        <v>0</v>
      </c>
    </row>
    <row r="38" spans="1:11" ht="16.5" customHeight="1">
      <c r="A38" s="1186">
        <v>33</v>
      </c>
      <c r="B38" s="1186" t="s">
        <v>938</v>
      </c>
      <c r="C38" s="1355">
        <v>3.483276</v>
      </c>
      <c r="D38" s="1355">
        <v>3.483276</v>
      </c>
      <c r="E38" s="1352">
        <f t="shared" si="1"/>
        <v>0</v>
      </c>
      <c r="F38" s="1352">
        <f t="shared" si="2"/>
        <v>0</v>
      </c>
      <c r="G38" s="1468">
        <f t="shared" si="3"/>
        <v>0</v>
      </c>
      <c r="H38" s="1356">
        <f>'Table 5E_OJJ'!F39*0.5</f>
        <v>4933.3140654738399</v>
      </c>
      <c r="I38" s="1354">
        <f t="shared" si="4"/>
        <v>0</v>
      </c>
      <c r="J38" s="1365">
        <f t="shared" si="5"/>
        <v>0</v>
      </c>
      <c r="K38" s="1365">
        <f t="shared" si="6"/>
        <v>0</v>
      </c>
    </row>
    <row r="39" spans="1:11" ht="16.5" customHeight="1">
      <c r="A39" s="1186">
        <v>34</v>
      </c>
      <c r="B39" s="1186" t="s">
        <v>939</v>
      </c>
      <c r="C39" s="1355">
        <v>0</v>
      </c>
      <c r="D39" s="1355">
        <v>0</v>
      </c>
      <c r="E39" s="1352">
        <f t="shared" si="1"/>
        <v>0</v>
      </c>
      <c r="F39" s="1352">
        <f t="shared" si="2"/>
        <v>0</v>
      </c>
      <c r="G39" s="1468">
        <f t="shared" si="3"/>
        <v>0</v>
      </c>
      <c r="H39" s="1356">
        <f>'Table 5E_OJJ'!F40*0.5</f>
        <v>4953.4596236522484</v>
      </c>
      <c r="I39" s="1354">
        <f t="shared" si="4"/>
        <v>0</v>
      </c>
      <c r="J39" s="1365">
        <f t="shared" si="5"/>
        <v>0</v>
      </c>
      <c r="K39" s="1365">
        <f t="shared" si="6"/>
        <v>0</v>
      </c>
    </row>
    <row r="40" spans="1:11" ht="16.5" customHeight="1">
      <c r="A40" s="1192">
        <v>35</v>
      </c>
      <c r="B40" s="1192" t="s">
        <v>940</v>
      </c>
      <c r="C40" s="1358">
        <v>2.7474989999999999</v>
      </c>
      <c r="D40" s="1358">
        <v>2.7474989999999999</v>
      </c>
      <c r="E40" s="1359">
        <f t="shared" si="1"/>
        <v>0</v>
      </c>
      <c r="F40" s="1359">
        <f t="shared" si="2"/>
        <v>0</v>
      </c>
      <c r="G40" s="1470">
        <f t="shared" si="3"/>
        <v>0</v>
      </c>
      <c r="H40" s="1361">
        <f>'Table 5E_OJJ'!F41*0.5</f>
        <v>4356.9059642965121</v>
      </c>
      <c r="I40" s="1362">
        <f t="shared" si="4"/>
        <v>0</v>
      </c>
      <c r="J40" s="1366">
        <f t="shared" si="5"/>
        <v>0</v>
      </c>
      <c r="K40" s="1366">
        <f t="shared" si="6"/>
        <v>0</v>
      </c>
    </row>
    <row r="41" spans="1:11" ht="16.5" customHeight="1">
      <c r="A41" s="1186">
        <v>36</v>
      </c>
      <c r="B41" s="1186" t="s">
        <v>662</v>
      </c>
      <c r="C41" s="1355">
        <v>35.017254999999999</v>
      </c>
      <c r="D41" s="1355">
        <v>35.017254999999999</v>
      </c>
      <c r="E41" s="1352">
        <f t="shared" si="1"/>
        <v>0</v>
      </c>
      <c r="F41" s="1352">
        <f t="shared" si="2"/>
        <v>0</v>
      </c>
      <c r="G41" s="1468">
        <f t="shared" si="3"/>
        <v>0</v>
      </c>
      <c r="H41" s="1356">
        <f>'Table 5E_OJJ'!F42*0.5</f>
        <v>3361.0203986011174</v>
      </c>
      <c r="I41" s="1354">
        <f t="shared" si="4"/>
        <v>0</v>
      </c>
      <c r="J41" s="1365">
        <f t="shared" si="5"/>
        <v>0</v>
      </c>
      <c r="K41" s="1365">
        <f t="shared" si="6"/>
        <v>0</v>
      </c>
    </row>
    <row r="42" spans="1:11" ht="16.5" customHeight="1">
      <c r="A42" s="1186">
        <v>37</v>
      </c>
      <c r="B42" s="1186" t="s">
        <v>653</v>
      </c>
      <c r="C42" s="1351">
        <v>2.651176</v>
      </c>
      <c r="D42" s="1351">
        <v>2.651176</v>
      </c>
      <c r="E42" s="1352">
        <f t="shared" si="1"/>
        <v>0</v>
      </c>
      <c r="F42" s="1352">
        <f t="shared" si="2"/>
        <v>0</v>
      </c>
      <c r="G42" s="1468">
        <f t="shared" si="3"/>
        <v>0</v>
      </c>
      <c r="H42" s="1353">
        <f>'Table 5E_OJJ'!F43*0.5</f>
        <v>4767.0605896411098</v>
      </c>
      <c r="I42" s="1354">
        <f t="shared" si="4"/>
        <v>0</v>
      </c>
      <c r="J42" s="1365">
        <f t="shared" si="5"/>
        <v>0</v>
      </c>
      <c r="K42" s="1365">
        <f t="shared" si="6"/>
        <v>0</v>
      </c>
    </row>
    <row r="43" spans="1:11" ht="16.5" customHeight="1">
      <c r="A43" s="1186">
        <v>38</v>
      </c>
      <c r="B43" s="1186" t="s">
        <v>673</v>
      </c>
      <c r="C43" s="1355">
        <v>0</v>
      </c>
      <c r="D43" s="1355">
        <v>0</v>
      </c>
      <c r="E43" s="1352">
        <f t="shared" si="1"/>
        <v>0</v>
      </c>
      <c r="F43" s="1352">
        <f t="shared" si="2"/>
        <v>0</v>
      </c>
      <c r="G43" s="1468">
        <f t="shared" si="3"/>
        <v>0</v>
      </c>
      <c r="H43" s="1353">
        <f>'Table 5E_OJJ'!F44*0.5</f>
        <v>2858.8162188830747</v>
      </c>
      <c r="I43" s="1354">
        <f t="shared" si="4"/>
        <v>0</v>
      </c>
      <c r="J43" s="1365">
        <f t="shared" si="5"/>
        <v>0</v>
      </c>
      <c r="K43" s="1365">
        <f t="shared" si="6"/>
        <v>0</v>
      </c>
    </row>
    <row r="44" spans="1:11" ht="16.5" customHeight="1">
      <c r="A44" s="1186">
        <v>39</v>
      </c>
      <c r="B44" s="1186" t="s">
        <v>941</v>
      </c>
      <c r="C44" s="1355">
        <v>0.91922000000000004</v>
      </c>
      <c r="D44" s="1355">
        <v>0.91922000000000004</v>
      </c>
      <c r="E44" s="1352">
        <f t="shared" si="1"/>
        <v>0</v>
      </c>
      <c r="F44" s="1352">
        <f t="shared" si="2"/>
        <v>0</v>
      </c>
      <c r="G44" s="1468">
        <f t="shared" si="3"/>
        <v>0</v>
      </c>
      <c r="H44" s="1356">
        <f>'Table 5E_OJJ'!F45*0.5</f>
        <v>3636.8459801070376</v>
      </c>
      <c r="I44" s="1354">
        <f t="shared" si="4"/>
        <v>0</v>
      </c>
      <c r="J44" s="1365">
        <f t="shared" si="5"/>
        <v>0</v>
      </c>
      <c r="K44" s="1365">
        <f t="shared" si="6"/>
        <v>0</v>
      </c>
    </row>
    <row r="45" spans="1:11" ht="16.5" customHeight="1">
      <c r="A45" s="1192">
        <v>40</v>
      </c>
      <c r="B45" s="1192" t="s">
        <v>942</v>
      </c>
      <c r="C45" s="1358">
        <v>4.936909</v>
      </c>
      <c r="D45" s="1358">
        <v>4.936909</v>
      </c>
      <c r="E45" s="1359">
        <f t="shared" si="1"/>
        <v>0</v>
      </c>
      <c r="F45" s="1359">
        <f t="shared" si="2"/>
        <v>0</v>
      </c>
      <c r="G45" s="1470">
        <f t="shared" si="3"/>
        <v>0</v>
      </c>
      <c r="H45" s="1361">
        <f>'Table 5E_OJJ'!F46*0.5</f>
        <v>4354.5972988493522</v>
      </c>
      <c r="I45" s="1362">
        <f t="shared" si="4"/>
        <v>0</v>
      </c>
      <c r="J45" s="1366">
        <f t="shared" si="5"/>
        <v>0</v>
      </c>
      <c r="K45" s="1366">
        <f t="shared" si="6"/>
        <v>0</v>
      </c>
    </row>
    <row r="46" spans="1:11" ht="16.5" customHeight="1">
      <c r="A46" s="1186">
        <v>41</v>
      </c>
      <c r="B46" s="1186" t="s">
        <v>943</v>
      </c>
      <c r="C46" s="1351">
        <v>1.158774</v>
      </c>
      <c r="D46" s="1351">
        <v>1.158774</v>
      </c>
      <c r="E46" s="1352">
        <f t="shared" si="1"/>
        <v>0</v>
      </c>
      <c r="F46" s="1352">
        <f t="shared" si="2"/>
        <v>0</v>
      </c>
      <c r="G46" s="1468">
        <f t="shared" si="3"/>
        <v>0</v>
      </c>
      <c r="H46" s="1353">
        <f>'Table 5E_OJJ'!F47*0.5</f>
        <v>2797.9573460268352</v>
      </c>
      <c r="I46" s="1354">
        <f t="shared" si="4"/>
        <v>0</v>
      </c>
      <c r="J46" s="1365">
        <f t="shared" si="5"/>
        <v>0</v>
      </c>
      <c r="K46" s="1365">
        <f t="shared" si="6"/>
        <v>0</v>
      </c>
    </row>
    <row r="47" spans="1:11" ht="16.5" customHeight="1">
      <c r="A47" s="1186">
        <v>42</v>
      </c>
      <c r="B47" s="1186" t="s">
        <v>944</v>
      </c>
      <c r="C47" s="1351">
        <v>5.8471970000000004</v>
      </c>
      <c r="D47" s="1351">
        <v>5.8471970000000004</v>
      </c>
      <c r="E47" s="1352">
        <f t="shared" si="1"/>
        <v>0</v>
      </c>
      <c r="F47" s="1352">
        <f t="shared" si="2"/>
        <v>0</v>
      </c>
      <c r="G47" s="1468">
        <f t="shared" si="3"/>
        <v>0</v>
      </c>
      <c r="H47" s="1353">
        <f>'Table 5E_OJJ'!F48*0.5</f>
        <v>4707.6035449046667</v>
      </c>
      <c r="I47" s="1354">
        <f t="shared" si="4"/>
        <v>0</v>
      </c>
      <c r="J47" s="1365">
        <f t="shared" si="5"/>
        <v>0</v>
      </c>
      <c r="K47" s="1365">
        <f t="shared" si="6"/>
        <v>0</v>
      </c>
    </row>
    <row r="48" spans="1:11" ht="16.5" customHeight="1">
      <c r="A48" s="1186">
        <v>43</v>
      </c>
      <c r="B48" s="1186" t="s">
        <v>945</v>
      </c>
      <c r="C48" s="1355">
        <v>3.0531359999999999</v>
      </c>
      <c r="D48" s="1355">
        <v>3.0531359999999999</v>
      </c>
      <c r="E48" s="1352">
        <f t="shared" si="1"/>
        <v>0</v>
      </c>
      <c r="F48" s="1352">
        <f t="shared" si="2"/>
        <v>0</v>
      </c>
      <c r="G48" s="1468">
        <f t="shared" si="3"/>
        <v>0</v>
      </c>
      <c r="H48" s="1356">
        <f>'Table 5E_OJJ'!F49*0.5</f>
        <v>5037.9018414101802</v>
      </c>
      <c r="I48" s="1354">
        <f t="shared" si="4"/>
        <v>0</v>
      </c>
      <c r="J48" s="1365">
        <f t="shared" si="5"/>
        <v>0</v>
      </c>
      <c r="K48" s="1365">
        <f t="shared" si="6"/>
        <v>0</v>
      </c>
    </row>
    <row r="49" spans="1:11" ht="16.5" customHeight="1">
      <c r="A49" s="1186">
        <v>44</v>
      </c>
      <c r="B49" s="1186" t="s">
        <v>664</v>
      </c>
      <c r="C49" s="1355">
        <v>1.3972599999999999</v>
      </c>
      <c r="D49" s="1355">
        <v>1.3972599999999999</v>
      </c>
      <c r="E49" s="1352">
        <f t="shared" si="1"/>
        <v>0</v>
      </c>
      <c r="F49" s="1352">
        <f t="shared" si="2"/>
        <v>0</v>
      </c>
      <c r="G49" s="1468">
        <f t="shared" si="3"/>
        <v>0</v>
      </c>
      <c r="H49" s="1356">
        <f>'Table 5E_OJJ'!F50*0.5</f>
        <v>4039.5635179309102</v>
      </c>
      <c r="I49" s="1354">
        <f t="shared" si="4"/>
        <v>0</v>
      </c>
      <c r="J49" s="1365">
        <f t="shared" si="5"/>
        <v>0</v>
      </c>
      <c r="K49" s="1365">
        <f t="shared" si="6"/>
        <v>0</v>
      </c>
    </row>
    <row r="50" spans="1:11" ht="16.5" customHeight="1">
      <c r="A50" s="1192">
        <v>45</v>
      </c>
      <c r="B50" s="1192" t="s">
        <v>665</v>
      </c>
      <c r="C50" s="1358">
        <v>1.9552989999999999</v>
      </c>
      <c r="D50" s="1358">
        <v>1.9552989999999999</v>
      </c>
      <c r="E50" s="1359">
        <f t="shared" si="1"/>
        <v>0</v>
      </c>
      <c r="F50" s="1359">
        <f t="shared" si="2"/>
        <v>0</v>
      </c>
      <c r="G50" s="1470">
        <f t="shared" si="3"/>
        <v>0</v>
      </c>
      <c r="H50" s="1361">
        <f>'Table 5E_OJJ'!F51*0.5</f>
        <v>2831.1464835244856</v>
      </c>
      <c r="I50" s="1362">
        <f t="shared" si="4"/>
        <v>0</v>
      </c>
      <c r="J50" s="1366">
        <f t="shared" si="5"/>
        <v>0</v>
      </c>
      <c r="K50" s="1366">
        <f t="shared" si="6"/>
        <v>0</v>
      </c>
    </row>
    <row r="51" spans="1:11" ht="16.5" customHeight="1">
      <c r="A51" s="1186">
        <v>46</v>
      </c>
      <c r="B51" s="1186" t="s">
        <v>946</v>
      </c>
      <c r="C51" s="1351">
        <v>0</v>
      </c>
      <c r="D51" s="1351">
        <v>0</v>
      </c>
      <c r="E51" s="1352">
        <f t="shared" si="1"/>
        <v>0</v>
      </c>
      <c r="F51" s="1352">
        <f t="shared" si="2"/>
        <v>0</v>
      </c>
      <c r="G51" s="1468">
        <f t="shared" si="3"/>
        <v>0</v>
      </c>
      <c r="H51" s="1356">
        <f>'Table 5E_OJJ'!F52*0.5</f>
        <v>5033.2806036298334</v>
      </c>
      <c r="I51" s="1354">
        <f t="shared" si="4"/>
        <v>0</v>
      </c>
      <c r="J51" s="1365">
        <f t="shared" si="5"/>
        <v>0</v>
      </c>
      <c r="K51" s="1365">
        <f t="shared" si="6"/>
        <v>0</v>
      </c>
    </row>
    <row r="52" spans="1:11" ht="16.5" customHeight="1">
      <c r="A52" s="1186">
        <v>47</v>
      </c>
      <c r="B52" s="1186" t="s">
        <v>947</v>
      </c>
      <c r="C52" s="1351">
        <v>0</v>
      </c>
      <c r="D52" s="1351">
        <v>0</v>
      </c>
      <c r="E52" s="1352">
        <f t="shared" si="1"/>
        <v>0</v>
      </c>
      <c r="F52" s="1352">
        <f t="shared" si="2"/>
        <v>0</v>
      </c>
      <c r="G52" s="1468">
        <f t="shared" si="3"/>
        <v>0</v>
      </c>
      <c r="H52" s="1353">
        <f>'Table 5E_OJJ'!F53*0.5</f>
        <v>3600.3677657065587</v>
      </c>
      <c r="I52" s="1354">
        <f t="shared" si="4"/>
        <v>0</v>
      </c>
      <c r="J52" s="1365">
        <f t="shared" si="5"/>
        <v>0</v>
      </c>
      <c r="K52" s="1365">
        <f t="shared" si="6"/>
        <v>0</v>
      </c>
    </row>
    <row r="53" spans="1:11" ht="16.5" customHeight="1">
      <c r="A53" s="1186">
        <v>48</v>
      </c>
      <c r="B53" s="1186" t="s">
        <v>948</v>
      </c>
      <c r="C53" s="1355">
        <v>1.2452920000000001</v>
      </c>
      <c r="D53" s="1355">
        <v>1.2452920000000001</v>
      </c>
      <c r="E53" s="1352">
        <f t="shared" si="1"/>
        <v>0</v>
      </c>
      <c r="F53" s="1352">
        <f t="shared" si="2"/>
        <v>0</v>
      </c>
      <c r="G53" s="1468">
        <f t="shared" si="3"/>
        <v>0</v>
      </c>
      <c r="H53" s="1356">
        <f>'Table 5E_OJJ'!F54*0.5</f>
        <v>3587.8028273273085</v>
      </c>
      <c r="I53" s="1354">
        <f t="shared" si="4"/>
        <v>0</v>
      </c>
      <c r="J53" s="1365">
        <f t="shared" si="5"/>
        <v>0</v>
      </c>
      <c r="K53" s="1365">
        <f t="shared" si="6"/>
        <v>0</v>
      </c>
    </row>
    <row r="54" spans="1:11" ht="16.5" customHeight="1">
      <c r="A54" s="1186">
        <v>49</v>
      </c>
      <c r="B54" s="1186" t="s">
        <v>949</v>
      </c>
      <c r="C54" s="1355">
        <v>6.3351879999999996</v>
      </c>
      <c r="D54" s="1355">
        <v>6.3351879999999996</v>
      </c>
      <c r="E54" s="1352">
        <f t="shared" si="1"/>
        <v>0</v>
      </c>
      <c r="F54" s="1352">
        <f t="shared" si="2"/>
        <v>0</v>
      </c>
      <c r="G54" s="1468">
        <f t="shared" si="3"/>
        <v>0</v>
      </c>
      <c r="H54" s="1356">
        <f>'Table 5E_OJJ'!F55*0.5</f>
        <v>4318.5311335396364</v>
      </c>
      <c r="I54" s="1354">
        <f t="shared" si="4"/>
        <v>0</v>
      </c>
      <c r="J54" s="1365">
        <f t="shared" si="5"/>
        <v>0</v>
      </c>
      <c r="K54" s="1365">
        <f t="shared" si="6"/>
        <v>0</v>
      </c>
    </row>
    <row r="55" spans="1:11" ht="16.5" customHeight="1">
      <c r="A55" s="1192">
        <v>50</v>
      </c>
      <c r="B55" s="1192" t="s">
        <v>950</v>
      </c>
      <c r="C55" s="1358">
        <v>6.0297140000000002</v>
      </c>
      <c r="D55" s="1358">
        <v>6.0297140000000002</v>
      </c>
      <c r="E55" s="1359">
        <f t="shared" si="1"/>
        <v>0</v>
      </c>
      <c r="F55" s="1359">
        <f t="shared" si="2"/>
        <v>0</v>
      </c>
      <c r="G55" s="1470">
        <f t="shared" si="3"/>
        <v>0</v>
      </c>
      <c r="H55" s="1361">
        <f>'Table 5E_OJJ'!F56*0.5</f>
        <v>4487.413779187591</v>
      </c>
      <c r="I55" s="1362">
        <f t="shared" si="4"/>
        <v>0</v>
      </c>
      <c r="J55" s="1366">
        <f t="shared" si="5"/>
        <v>0</v>
      </c>
      <c r="K55" s="1366">
        <f t="shared" si="6"/>
        <v>0</v>
      </c>
    </row>
    <row r="56" spans="1:11" ht="16.5" customHeight="1">
      <c r="A56" s="1186">
        <v>51</v>
      </c>
      <c r="B56" s="1186" t="s">
        <v>951</v>
      </c>
      <c r="C56" s="1351">
        <v>3.476378</v>
      </c>
      <c r="D56" s="1351">
        <v>3.476378</v>
      </c>
      <c r="E56" s="1352">
        <f t="shared" si="1"/>
        <v>0</v>
      </c>
      <c r="F56" s="1352">
        <f t="shared" si="2"/>
        <v>0</v>
      </c>
      <c r="G56" s="1468">
        <f t="shared" si="3"/>
        <v>0</v>
      </c>
      <c r="H56" s="1353">
        <f>'Table 5E_OJJ'!F57*0.5</f>
        <v>4187.5468959987211</v>
      </c>
      <c r="I56" s="1354">
        <f t="shared" si="4"/>
        <v>0</v>
      </c>
      <c r="J56" s="1365">
        <f t="shared" si="5"/>
        <v>0</v>
      </c>
      <c r="K56" s="1365">
        <f t="shared" si="6"/>
        <v>0</v>
      </c>
    </row>
    <row r="57" spans="1:11" ht="16.5" customHeight="1">
      <c r="A57" s="1186">
        <v>52</v>
      </c>
      <c r="B57" s="1186" t="s">
        <v>667</v>
      </c>
      <c r="C57" s="1351">
        <v>11.890036</v>
      </c>
      <c r="D57" s="1351">
        <v>11.890036</v>
      </c>
      <c r="E57" s="1352">
        <f t="shared" si="1"/>
        <v>0</v>
      </c>
      <c r="F57" s="1352">
        <f t="shared" si="2"/>
        <v>0</v>
      </c>
      <c r="G57" s="1468">
        <f t="shared" si="3"/>
        <v>0</v>
      </c>
      <c r="H57" s="1353">
        <f>'Table 5E_OJJ'!F58*0.5</f>
        <v>4450.3787027182452</v>
      </c>
      <c r="I57" s="1354">
        <f t="shared" si="4"/>
        <v>0</v>
      </c>
      <c r="J57" s="1365">
        <f t="shared" si="5"/>
        <v>0</v>
      </c>
      <c r="K57" s="1365">
        <f t="shared" si="6"/>
        <v>0</v>
      </c>
    </row>
    <row r="58" spans="1:11" ht="16.5" customHeight="1">
      <c r="A58" s="1186">
        <v>53</v>
      </c>
      <c r="B58" s="1186" t="s">
        <v>952</v>
      </c>
      <c r="C58" s="1355">
        <v>6.9142640000000002</v>
      </c>
      <c r="D58" s="1355">
        <v>6.9142640000000002</v>
      </c>
      <c r="E58" s="1352">
        <f t="shared" si="1"/>
        <v>0</v>
      </c>
      <c r="F58" s="1352">
        <f t="shared" si="2"/>
        <v>0</v>
      </c>
      <c r="G58" s="1468">
        <f t="shared" si="3"/>
        <v>0</v>
      </c>
      <c r="H58" s="1356">
        <f>'Table 5E_OJJ'!F59*0.5</f>
        <v>4312.4833131541636</v>
      </c>
      <c r="I58" s="1354">
        <f t="shared" si="4"/>
        <v>0</v>
      </c>
      <c r="J58" s="1365">
        <f t="shared" si="5"/>
        <v>0</v>
      </c>
      <c r="K58" s="1365">
        <f t="shared" si="6"/>
        <v>0</v>
      </c>
    </row>
    <row r="59" spans="1:11" ht="16.5" customHeight="1">
      <c r="A59" s="1186">
        <v>54</v>
      </c>
      <c r="B59" s="1186" t="s">
        <v>953</v>
      </c>
      <c r="C59" s="1355">
        <v>0.83989899999999995</v>
      </c>
      <c r="D59" s="1355">
        <v>0.83989899999999995</v>
      </c>
      <c r="E59" s="1352">
        <f t="shared" si="1"/>
        <v>0</v>
      </c>
      <c r="F59" s="1352">
        <f t="shared" si="2"/>
        <v>0</v>
      </c>
      <c r="G59" s="1468">
        <f t="shared" si="3"/>
        <v>0</v>
      </c>
      <c r="H59" s="1356">
        <f>'Table 5E_OJJ'!F60*0.5</f>
        <v>5083.0218040494483</v>
      </c>
      <c r="I59" s="1354">
        <f t="shared" si="4"/>
        <v>0</v>
      </c>
      <c r="J59" s="1365">
        <f t="shared" si="5"/>
        <v>0</v>
      </c>
      <c r="K59" s="1365">
        <f t="shared" si="6"/>
        <v>0</v>
      </c>
    </row>
    <row r="60" spans="1:11" ht="16.5" customHeight="1">
      <c r="A60" s="1192">
        <v>55</v>
      </c>
      <c r="B60" s="1192" t="s">
        <v>954</v>
      </c>
      <c r="C60" s="1358">
        <v>9.2746729999999999</v>
      </c>
      <c r="D60" s="1358">
        <v>9.2746729999999999</v>
      </c>
      <c r="E60" s="1359">
        <f t="shared" si="1"/>
        <v>0</v>
      </c>
      <c r="F60" s="1359">
        <f t="shared" si="2"/>
        <v>0</v>
      </c>
      <c r="G60" s="1470">
        <f t="shared" si="3"/>
        <v>0</v>
      </c>
      <c r="H60" s="1361">
        <f>'Table 5E_OJJ'!F61*0.5</f>
        <v>3936.454803383429</v>
      </c>
      <c r="I60" s="1362">
        <f t="shared" si="4"/>
        <v>0</v>
      </c>
      <c r="J60" s="1366">
        <f t="shared" si="5"/>
        <v>0</v>
      </c>
      <c r="K60" s="1366">
        <f t="shared" si="6"/>
        <v>0</v>
      </c>
    </row>
    <row r="61" spans="1:11" ht="16.5" customHeight="1">
      <c r="A61" s="1186">
        <v>56</v>
      </c>
      <c r="B61" s="1186" t="s">
        <v>652</v>
      </c>
      <c r="C61" s="1351">
        <v>0</v>
      </c>
      <c r="D61" s="1351">
        <v>0</v>
      </c>
      <c r="E61" s="1352">
        <f t="shared" si="1"/>
        <v>0</v>
      </c>
      <c r="F61" s="1352">
        <f t="shared" si="2"/>
        <v>0</v>
      </c>
      <c r="G61" s="1468">
        <f t="shared" si="3"/>
        <v>0</v>
      </c>
      <c r="H61" s="1353">
        <f>'Table 5E_OJJ'!F62*0.5</f>
        <v>4496.2941552422444</v>
      </c>
      <c r="I61" s="1354">
        <f t="shared" si="4"/>
        <v>0</v>
      </c>
      <c r="J61" s="1365">
        <f t="shared" si="5"/>
        <v>0</v>
      </c>
      <c r="K61" s="1365">
        <f t="shared" si="6"/>
        <v>0</v>
      </c>
    </row>
    <row r="62" spans="1:11" ht="16.5" customHeight="1">
      <c r="A62" s="1186">
        <v>57</v>
      </c>
      <c r="B62" s="1186" t="s">
        <v>955</v>
      </c>
      <c r="C62" s="1351">
        <v>3.5629149999999998</v>
      </c>
      <c r="D62" s="1351">
        <v>3.5629149999999998</v>
      </c>
      <c r="E62" s="1352">
        <f t="shared" si="1"/>
        <v>0</v>
      </c>
      <c r="F62" s="1352">
        <f t="shared" si="2"/>
        <v>0</v>
      </c>
      <c r="G62" s="1468">
        <f t="shared" si="3"/>
        <v>0</v>
      </c>
      <c r="H62" s="1353">
        <f>'Table 5E_OJJ'!F63*0.5</f>
        <v>4215.4278839539129</v>
      </c>
      <c r="I62" s="1354">
        <f t="shared" si="4"/>
        <v>0</v>
      </c>
      <c r="J62" s="1365">
        <f t="shared" si="5"/>
        <v>0</v>
      </c>
      <c r="K62" s="1365">
        <f t="shared" si="6"/>
        <v>0</v>
      </c>
    </row>
    <row r="63" spans="1:11" ht="16.5" customHeight="1">
      <c r="A63" s="1186">
        <v>58</v>
      </c>
      <c r="B63" s="1186" t="s">
        <v>956</v>
      </c>
      <c r="C63" s="1355">
        <v>2.2962449999999999</v>
      </c>
      <c r="D63" s="1355">
        <v>2.2962449999999999</v>
      </c>
      <c r="E63" s="1352">
        <f t="shared" si="1"/>
        <v>0</v>
      </c>
      <c r="F63" s="1352">
        <f t="shared" si="2"/>
        <v>0</v>
      </c>
      <c r="G63" s="1468">
        <f t="shared" si="3"/>
        <v>0</v>
      </c>
      <c r="H63" s="1356">
        <f>'Table 5E_OJJ'!F64*0.5</f>
        <v>4672.482119418677</v>
      </c>
      <c r="I63" s="1354">
        <f t="shared" si="4"/>
        <v>0</v>
      </c>
      <c r="J63" s="1365">
        <f t="shared" si="5"/>
        <v>0</v>
      </c>
      <c r="K63" s="1365">
        <f t="shared" si="6"/>
        <v>0</v>
      </c>
    </row>
    <row r="64" spans="1:11" ht="16.5" customHeight="1">
      <c r="A64" s="1186">
        <v>59</v>
      </c>
      <c r="B64" s="1186" t="s">
        <v>957</v>
      </c>
      <c r="C64" s="1355">
        <v>2.3013699999999999</v>
      </c>
      <c r="D64" s="1355">
        <v>2.3013699999999999</v>
      </c>
      <c r="E64" s="1352">
        <f t="shared" si="1"/>
        <v>0</v>
      </c>
      <c r="F64" s="1352">
        <f t="shared" si="2"/>
        <v>0</v>
      </c>
      <c r="G64" s="1468">
        <f t="shared" si="3"/>
        <v>0</v>
      </c>
      <c r="H64" s="1356">
        <f>'Table 5E_OJJ'!F65*0.5</f>
        <v>5276.9515844316211</v>
      </c>
      <c r="I64" s="1354">
        <f t="shared" si="4"/>
        <v>0</v>
      </c>
      <c r="J64" s="1365">
        <f t="shared" si="5"/>
        <v>0</v>
      </c>
      <c r="K64" s="1365">
        <f t="shared" si="6"/>
        <v>0</v>
      </c>
    </row>
    <row r="65" spans="1:11" ht="16.5" customHeight="1">
      <c r="A65" s="1192">
        <v>60</v>
      </c>
      <c r="B65" s="1192" t="s">
        <v>958</v>
      </c>
      <c r="C65" s="1358">
        <v>1.200501</v>
      </c>
      <c r="D65" s="1358">
        <v>1.200501</v>
      </c>
      <c r="E65" s="1359">
        <f t="shared" si="1"/>
        <v>0</v>
      </c>
      <c r="F65" s="1359">
        <f t="shared" si="2"/>
        <v>0</v>
      </c>
      <c r="G65" s="1470">
        <f t="shared" si="3"/>
        <v>0</v>
      </c>
      <c r="H65" s="1361">
        <f>'Table 5E_OJJ'!F66*0.5</f>
        <v>4360.4280452990852</v>
      </c>
      <c r="I65" s="1362">
        <f t="shared" si="4"/>
        <v>0</v>
      </c>
      <c r="J65" s="1366">
        <f t="shared" si="5"/>
        <v>0</v>
      </c>
      <c r="K65" s="1366">
        <f t="shared" si="6"/>
        <v>0</v>
      </c>
    </row>
    <row r="66" spans="1:11" ht="16.5" customHeight="1">
      <c r="A66" s="1186">
        <v>61</v>
      </c>
      <c r="B66" s="1186" t="s">
        <v>959</v>
      </c>
      <c r="C66" s="1351">
        <v>7.6846269999999999</v>
      </c>
      <c r="D66" s="1351">
        <v>7.6846269999999999</v>
      </c>
      <c r="E66" s="1352">
        <f t="shared" si="1"/>
        <v>0</v>
      </c>
      <c r="F66" s="1352">
        <f t="shared" si="2"/>
        <v>0</v>
      </c>
      <c r="G66" s="1468">
        <f t="shared" si="3"/>
        <v>0</v>
      </c>
      <c r="H66" s="1353">
        <f>'Table 5E_OJJ'!F67*0.5</f>
        <v>3208.3704111482616</v>
      </c>
      <c r="I66" s="1354">
        <f t="shared" si="4"/>
        <v>0</v>
      </c>
      <c r="J66" s="1365">
        <f t="shared" si="5"/>
        <v>0</v>
      </c>
      <c r="K66" s="1365">
        <f t="shared" si="6"/>
        <v>0</v>
      </c>
    </row>
    <row r="67" spans="1:11" ht="16.5" customHeight="1">
      <c r="A67" s="1186">
        <v>62</v>
      </c>
      <c r="B67" s="1186" t="s">
        <v>960</v>
      </c>
      <c r="C67" s="1351">
        <v>0.99442900000000001</v>
      </c>
      <c r="D67" s="1351">
        <v>0.99442900000000001</v>
      </c>
      <c r="E67" s="1352">
        <f t="shared" si="1"/>
        <v>0</v>
      </c>
      <c r="F67" s="1352">
        <f t="shared" si="2"/>
        <v>0</v>
      </c>
      <c r="G67" s="1468">
        <f t="shared" si="3"/>
        <v>0</v>
      </c>
      <c r="H67" s="1353">
        <f>'Table 5E_OJJ'!F68*0.5</f>
        <v>4696.7031952121506</v>
      </c>
      <c r="I67" s="1354">
        <f t="shared" si="4"/>
        <v>0</v>
      </c>
      <c r="J67" s="1365">
        <f t="shared" si="5"/>
        <v>0</v>
      </c>
      <c r="K67" s="1365">
        <f t="shared" si="6"/>
        <v>0</v>
      </c>
    </row>
    <row r="68" spans="1:11" ht="16.5" customHeight="1">
      <c r="A68" s="1186">
        <v>63</v>
      </c>
      <c r="B68" s="1186" t="s">
        <v>961</v>
      </c>
      <c r="C68" s="1355">
        <v>1.994429</v>
      </c>
      <c r="D68" s="1355">
        <v>1.994429</v>
      </c>
      <c r="E68" s="1352">
        <f t="shared" si="1"/>
        <v>0</v>
      </c>
      <c r="F68" s="1352">
        <f t="shared" si="2"/>
        <v>0</v>
      </c>
      <c r="G68" s="1468">
        <f t="shared" si="3"/>
        <v>0</v>
      </c>
      <c r="H68" s="1356">
        <f>'Table 5E_OJJ'!F69*0.5</f>
        <v>4028.5191458595996</v>
      </c>
      <c r="I68" s="1354">
        <f t="shared" si="4"/>
        <v>0</v>
      </c>
      <c r="J68" s="1365">
        <f t="shared" si="5"/>
        <v>0</v>
      </c>
      <c r="K68" s="1365">
        <f t="shared" si="6"/>
        <v>0</v>
      </c>
    </row>
    <row r="69" spans="1:11" ht="16.5" customHeight="1">
      <c r="A69" s="1186">
        <v>64</v>
      </c>
      <c r="B69" s="1186" t="s">
        <v>962</v>
      </c>
      <c r="C69" s="1355">
        <v>0</v>
      </c>
      <c r="D69" s="1355">
        <v>0</v>
      </c>
      <c r="E69" s="1352">
        <f t="shared" si="1"/>
        <v>0</v>
      </c>
      <c r="F69" s="1352">
        <f t="shared" si="2"/>
        <v>0</v>
      </c>
      <c r="G69" s="1468">
        <f t="shared" si="3"/>
        <v>0</v>
      </c>
      <c r="H69" s="1356">
        <f>'Table 5E_OJJ'!F70*0.5</f>
        <v>4980.2788122331958</v>
      </c>
      <c r="I69" s="1354">
        <f t="shared" si="4"/>
        <v>0</v>
      </c>
      <c r="J69" s="1365">
        <f t="shared" si="5"/>
        <v>0</v>
      </c>
      <c r="K69" s="1365">
        <f t="shared" si="6"/>
        <v>0</v>
      </c>
    </row>
    <row r="70" spans="1:11" ht="16.5" customHeight="1">
      <c r="A70" s="1192">
        <v>65</v>
      </c>
      <c r="B70" s="1192" t="s">
        <v>963</v>
      </c>
      <c r="C70" s="1358">
        <v>2.7040000000000002</v>
      </c>
      <c r="D70" s="1358">
        <v>2.7040000000000002</v>
      </c>
      <c r="E70" s="1359">
        <f t="shared" si="1"/>
        <v>0</v>
      </c>
      <c r="F70" s="1359">
        <f t="shared" si="2"/>
        <v>0</v>
      </c>
      <c r="G70" s="1470">
        <f t="shared" si="3"/>
        <v>0</v>
      </c>
      <c r="H70" s="1361">
        <f>'Table 5E_OJJ'!F71*0.5</f>
        <v>4248.7113268902158</v>
      </c>
      <c r="I70" s="1362">
        <f t="shared" si="4"/>
        <v>0</v>
      </c>
      <c r="J70" s="1366">
        <f t="shared" si="5"/>
        <v>0</v>
      </c>
      <c r="K70" s="1366">
        <f t="shared" si="6"/>
        <v>0</v>
      </c>
    </row>
    <row r="71" spans="1:11" ht="16.5" customHeight="1">
      <c r="A71" s="1197">
        <v>66</v>
      </c>
      <c r="B71" s="1197" t="s">
        <v>964</v>
      </c>
      <c r="C71" s="1355">
        <v>2.9558900000000001</v>
      </c>
      <c r="D71" s="1355">
        <v>2.9558900000000001</v>
      </c>
      <c r="E71" s="1352">
        <f t="shared" ref="E71:E74" si="7">D71-C71</f>
        <v>0</v>
      </c>
      <c r="F71" s="1352">
        <f>IF(E71&gt;0,E71,0)</f>
        <v>0</v>
      </c>
      <c r="G71" s="1468">
        <f>IF(E71&lt;0,E71,0)</f>
        <v>0</v>
      </c>
      <c r="H71" s="1356">
        <f>'Table 5E_OJJ'!F72*0.5</f>
        <v>5273.3990492939238</v>
      </c>
      <c r="I71" s="1354">
        <f t="shared" ref="I71:I74" si="8">E71*H71</f>
        <v>0</v>
      </c>
      <c r="J71" s="1365">
        <f>IF(I71&gt;0,I71,0)</f>
        <v>0</v>
      </c>
      <c r="K71" s="1365">
        <f>IF(I71&lt;0,I71,0)</f>
        <v>0</v>
      </c>
    </row>
    <row r="72" spans="1:11" ht="16.5" customHeight="1">
      <c r="A72" s="1186">
        <v>67</v>
      </c>
      <c r="B72" s="1186" t="s">
        <v>965</v>
      </c>
      <c r="C72" s="1351">
        <v>0.47199999999999998</v>
      </c>
      <c r="D72" s="1351">
        <v>0.47199999999999998</v>
      </c>
      <c r="E72" s="1352">
        <f t="shared" si="7"/>
        <v>0</v>
      </c>
      <c r="F72" s="1352">
        <f>IF(E72&gt;0,E72,0)</f>
        <v>0</v>
      </c>
      <c r="G72" s="1468">
        <f>IF(E72&lt;0,E72,0)</f>
        <v>0</v>
      </c>
      <c r="H72" s="1353">
        <f>'Table 5E_OJJ'!F73*0.5</f>
        <v>4495.65951471884</v>
      </c>
      <c r="I72" s="1354">
        <f t="shared" si="8"/>
        <v>0</v>
      </c>
      <c r="J72" s="1365">
        <f>IF(I72&gt;0,I72,0)</f>
        <v>0</v>
      </c>
      <c r="K72" s="1365">
        <f>IF(I72&lt;0,I72,0)</f>
        <v>0</v>
      </c>
    </row>
    <row r="73" spans="1:11" ht="16.5" customHeight="1">
      <c r="A73" s="1186">
        <v>68</v>
      </c>
      <c r="B73" s="1186" t="s">
        <v>966</v>
      </c>
      <c r="C73" s="1351">
        <v>0</v>
      </c>
      <c r="D73" s="1351">
        <v>0</v>
      </c>
      <c r="E73" s="1352">
        <f t="shared" si="7"/>
        <v>0</v>
      </c>
      <c r="F73" s="1352">
        <f>IF(E73&gt;0,E73,0)</f>
        <v>0</v>
      </c>
      <c r="G73" s="1468">
        <f>IF(E73&lt;0,E73,0)</f>
        <v>0</v>
      </c>
      <c r="H73" s="1353">
        <f>'Table 5E_OJJ'!F74*0.5</f>
        <v>5115.8325817330906</v>
      </c>
      <c r="I73" s="1354">
        <f t="shared" si="8"/>
        <v>0</v>
      </c>
      <c r="J73" s="1365">
        <f>IF(I73&gt;0,I73,0)</f>
        <v>0</v>
      </c>
      <c r="K73" s="1365">
        <f>IF(I73&lt;0,I73,0)</f>
        <v>0</v>
      </c>
    </row>
    <row r="74" spans="1:11" ht="16.5" customHeight="1">
      <c r="A74" s="1213">
        <v>69</v>
      </c>
      <c r="B74" s="1199" t="s">
        <v>967</v>
      </c>
      <c r="C74" s="1351">
        <v>0</v>
      </c>
      <c r="D74" s="1351">
        <v>0</v>
      </c>
      <c r="E74" s="1352">
        <f t="shared" si="7"/>
        <v>0</v>
      </c>
      <c r="F74" s="1352">
        <f>IF(E74&gt;0,E74,0)</f>
        <v>0</v>
      </c>
      <c r="G74" s="1468">
        <f>IF(E74&lt;0,E74,0)</f>
        <v>0</v>
      </c>
      <c r="H74" s="1353">
        <f>'Table 5E_OJJ'!F75*0.5</f>
        <v>4815.3026514118483</v>
      </c>
      <c r="I74" s="1354">
        <f t="shared" si="8"/>
        <v>0</v>
      </c>
      <c r="J74" s="1365">
        <f>IF(I74&gt;0,I74,0)</f>
        <v>0</v>
      </c>
      <c r="K74" s="1365">
        <f>IF(I74&lt;0,I74,0)</f>
        <v>0</v>
      </c>
    </row>
    <row r="75" spans="1:11" s="1204" customFormat="1" ht="16.5" customHeight="1" thickBot="1">
      <c r="A75" s="1369"/>
      <c r="B75" s="1201" t="s">
        <v>1154</v>
      </c>
      <c r="C75" s="1370">
        <f t="shared" ref="C75:K75" si="9">SUM(C6:C74)</f>
        <v>330.32457200000005</v>
      </c>
      <c r="D75" s="1370">
        <f>SUM(D6:D74)</f>
        <v>330.32457200000005</v>
      </c>
      <c r="E75" s="1370">
        <f t="shared" si="9"/>
        <v>0</v>
      </c>
      <c r="F75" s="1370">
        <f t="shared" si="9"/>
        <v>0</v>
      </c>
      <c r="G75" s="1370">
        <f t="shared" si="9"/>
        <v>0</v>
      </c>
      <c r="H75" s="1371"/>
      <c r="I75" s="1371">
        <f t="shared" si="9"/>
        <v>0</v>
      </c>
      <c r="J75" s="1371">
        <f t="shared" si="9"/>
        <v>0</v>
      </c>
      <c r="K75" s="1371">
        <f t="shared" si="9"/>
        <v>0</v>
      </c>
    </row>
    <row r="76" spans="1:11" ht="16.5" customHeight="1" thickTop="1"/>
  </sheetData>
  <mergeCells count="11">
    <mergeCell ref="F2:F3"/>
    <mergeCell ref="A2:A3"/>
    <mergeCell ref="B2:B3"/>
    <mergeCell ref="C2:C3"/>
    <mergeCell ref="D2:D3"/>
    <mergeCell ref="E2:E3"/>
    <mergeCell ref="G2:G3"/>
    <mergeCell ref="H2:H3"/>
    <mergeCell ref="I2:I3"/>
    <mergeCell ref="J2:J3"/>
    <mergeCell ref="K2:K3"/>
  </mergeCells>
  <pageMargins left="0.4" right="0.43" top="0.75" bottom="0.75" header="0.3" footer="0.3"/>
  <pageSetup paperSize="5" scale="50" orientation="portrait" r:id="rId1"/>
  <headerFooter>
    <oddHeader>&amp;L&amp;"Arial,Bold"&amp;24FY2011-12 MFP Budget Letter: February 1 Mid-year Adjustment for Students</oddHeader>
    <oddFooter>&amp;L&amp;Z&amp;F</oddFooter>
  </headerFooter>
</worksheet>
</file>

<file path=xl/worksheets/sheet3.xml><?xml version="1.0" encoding="utf-8"?>
<worksheet xmlns="http://schemas.openxmlformats.org/spreadsheetml/2006/main" xmlns:r="http://schemas.openxmlformats.org/officeDocument/2006/relationships">
  <dimension ref="A1:AR78"/>
  <sheetViews>
    <sheetView view="pageBreakPreview" zoomScale="70" zoomScaleNormal="70" zoomScaleSheetLayoutView="70" workbookViewId="0">
      <pane xSplit="2" ySplit="4" topLeftCell="C5" activePane="bottomRight" state="frozen"/>
      <selection pane="topRight"/>
      <selection pane="bottomLeft"/>
      <selection pane="bottomRight" activeCell="A76" sqref="A76:XFD77"/>
    </sheetView>
  </sheetViews>
  <sheetFormatPr defaultRowHeight="12.75"/>
  <cols>
    <col min="1" max="1" width="3.42578125" bestFit="1" customWidth="1"/>
    <col min="2" max="2" width="18.7109375" bestFit="1" customWidth="1"/>
    <col min="3" max="3" width="17.7109375" customWidth="1"/>
    <col min="4" max="5" width="14.42578125" bestFit="1" customWidth="1"/>
    <col min="6" max="6" width="15.28515625" customWidth="1"/>
    <col min="7" max="7" width="14.7109375" customWidth="1"/>
    <col min="8" max="8" width="14.42578125" customWidth="1"/>
    <col min="9" max="9" width="11.140625" customWidth="1"/>
    <col min="10" max="10" width="11.7109375" hidden="1" customWidth="1"/>
    <col min="11" max="11" width="11.7109375" customWidth="1"/>
    <col min="12" max="12" width="12.140625" customWidth="1"/>
    <col min="13" max="13" width="12.85546875" bestFit="1" customWidth="1"/>
    <col min="14" max="14" width="13.140625" customWidth="1"/>
    <col min="15" max="15" width="12" customWidth="1"/>
    <col min="16" max="16" width="16" bestFit="1" customWidth="1"/>
    <col min="17" max="18" width="14" customWidth="1"/>
    <col min="19" max="19" width="15.28515625" bestFit="1" customWidth="1"/>
    <col min="20" max="20" width="15.42578125" customWidth="1"/>
    <col min="21" max="21" width="15.28515625" customWidth="1"/>
    <col min="22" max="22" width="15" customWidth="1"/>
    <col min="23" max="23" width="14.85546875" customWidth="1"/>
    <col min="24" max="24" width="17.7109375" bestFit="1" customWidth="1"/>
    <col min="25" max="25" width="15.42578125" bestFit="1" customWidth="1"/>
    <col min="26" max="26" width="14" customWidth="1"/>
    <col min="27" max="27" width="14.42578125" customWidth="1"/>
    <col min="28" max="28" width="16" bestFit="1" customWidth="1"/>
    <col min="29" max="29" width="4.28515625" bestFit="1" customWidth="1"/>
    <col min="35" max="35" width="9.140625" style="251"/>
    <col min="44" max="44" width="9.140625" style="256"/>
  </cols>
  <sheetData>
    <row r="1" spans="1:44" ht="12.75" customHeight="1">
      <c r="A1" s="1651" t="s">
        <v>248</v>
      </c>
      <c r="B1" s="1651" t="s">
        <v>158</v>
      </c>
      <c r="C1" s="1634" t="s">
        <v>249</v>
      </c>
      <c r="D1" s="1652" t="s">
        <v>250</v>
      </c>
      <c r="E1" s="1652" t="s">
        <v>251</v>
      </c>
      <c r="F1" s="1652" t="s">
        <v>252</v>
      </c>
      <c r="G1" s="1652" t="s">
        <v>253</v>
      </c>
      <c r="H1" s="1652" t="s">
        <v>254</v>
      </c>
      <c r="I1" s="1652" t="s">
        <v>255</v>
      </c>
      <c r="J1" s="1652" t="s">
        <v>256</v>
      </c>
      <c r="K1" s="1652" t="s">
        <v>257</v>
      </c>
      <c r="L1" s="1652" t="s">
        <v>258</v>
      </c>
      <c r="M1" s="1652" t="s">
        <v>259</v>
      </c>
      <c r="N1" s="1652" t="s">
        <v>260</v>
      </c>
      <c r="O1" s="1667" t="s">
        <v>261</v>
      </c>
      <c r="P1" s="1664" t="s">
        <v>262</v>
      </c>
      <c r="Q1" s="1652" t="s">
        <v>263</v>
      </c>
      <c r="R1" s="1652" t="s">
        <v>264</v>
      </c>
      <c r="S1" s="1652" t="s">
        <v>265</v>
      </c>
      <c r="T1" s="1652" t="s">
        <v>266</v>
      </c>
      <c r="U1" s="1652" t="s">
        <v>267</v>
      </c>
      <c r="V1" s="1652" t="s">
        <v>268</v>
      </c>
      <c r="W1" s="1652" t="s">
        <v>269</v>
      </c>
      <c r="X1" s="1652" t="s">
        <v>270</v>
      </c>
      <c r="Y1" s="1652" t="s">
        <v>271</v>
      </c>
      <c r="Z1" s="1652" t="s">
        <v>272</v>
      </c>
      <c r="AA1" s="1652" t="s">
        <v>273</v>
      </c>
      <c r="AB1" s="1664" t="s">
        <v>274</v>
      </c>
      <c r="AC1" s="256"/>
      <c r="AI1"/>
      <c r="AR1"/>
    </row>
    <row r="2" spans="1:44">
      <c r="A2" s="1649"/>
      <c r="B2" s="1649"/>
      <c r="C2" s="1634"/>
      <c r="D2" s="1653"/>
      <c r="E2" s="1653"/>
      <c r="F2" s="1653"/>
      <c r="G2" s="1653"/>
      <c r="H2" s="1653"/>
      <c r="I2" s="1653"/>
      <c r="J2" s="1653"/>
      <c r="K2" s="1653"/>
      <c r="L2" s="1653"/>
      <c r="M2" s="1653"/>
      <c r="N2" s="1653"/>
      <c r="O2" s="1668"/>
      <c r="P2" s="1665"/>
      <c r="Q2" s="1653"/>
      <c r="R2" s="1653"/>
      <c r="S2" s="1653"/>
      <c r="T2" s="1653"/>
      <c r="U2" s="1653"/>
      <c r="V2" s="1653"/>
      <c r="W2" s="1653"/>
      <c r="X2" s="1653"/>
      <c r="Y2" s="1653"/>
      <c r="Z2" s="1653"/>
      <c r="AA2" s="1653"/>
      <c r="AB2" s="1665"/>
      <c r="AC2" s="256"/>
      <c r="AI2"/>
      <c r="AR2"/>
    </row>
    <row r="3" spans="1:44" ht="24" customHeight="1">
      <c r="A3" s="1649"/>
      <c r="B3" s="1649"/>
      <c r="C3" s="1634"/>
      <c r="D3" s="1653"/>
      <c r="E3" s="1653"/>
      <c r="F3" s="1653"/>
      <c r="G3" s="1653"/>
      <c r="H3" s="1653"/>
      <c r="I3" s="1653"/>
      <c r="J3" s="1653"/>
      <c r="K3" s="1653"/>
      <c r="L3" s="1653"/>
      <c r="M3" s="1653"/>
      <c r="N3" s="1653"/>
      <c r="O3" s="1668"/>
      <c r="P3" s="1665"/>
      <c r="Q3" s="1653"/>
      <c r="R3" s="1653"/>
      <c r="S3" s="1653"/>
      <c r="T3" s="1653"/>
      <c r="U3" s="1653"/>
      <c r="V3" s="1653"/>
      <c r="W3" s="1653"/>
      <c r="X3" s="1653"/>
      <c r="Y3" s="1653"/>
      <c r="Z3" s="1653"/>
      <c r="AA3" s="1653"/>
      <c r="AB3" s="1665"/>
      <c r="AC3" s="296"/>
      <c r="AI3"/>
      <c r="AR3"/>
    </row>
    <row r="4" spans="1:44" ht="109.5" customHeight="1">
      <c r="A4" s="1650"/>
      <c r="B4" s="1650"/>
      <c r="C4" s="1634"/>
      <c r="D4" s="1654"/>
      <c r="E4" s="1654"/>
      <c r="F4" s="1654"/>
      <c r="G4" s="1654"/>
      <c r="H4" s="1654"/>
      <c r="I4" s="1654"/>
      <c r="J4" s="1654"/>
      <c r="K4" s="1654"/>
      <c r="L4" s="1654"/>
      <c r="M4" s="1654"/>
      <c r="N4" s="1654"/>
      <c r="O4" s="1669"/>
      <c r="P4" s="1666"/>
      <c r="Q4" s="1654"/>
      <c r="R4" s="1654"/>
      <c r="S4" s="1654"/>
      <c r="T4" s="1654"/>
      <c r="U4" s="1654"/>
      <c r="V4" s="1654"/>
      <c r="W4" s="1654"/>
      <c r="X4" s="1654"/>
      <c r="Y4" s="1654"/>
      <c r="Z4" s="1654"/>
      <c r="AA4" s="1654"/>
      <c r="AB4" s="1666"/>
      <c r="AC4" s="296"/>
      <c r="AI4"/>
      <c r="AR4"/>
    </row>
    <row r="5" spans="1:44" s="300" customFormat="1">
      <c r="A5" s="297"/>
      <c r="B5" s="298"/>
      <c r="C5" s="299">
        <v>1</v>
      </c>
      <c r="D5" s="299">
        <f t="shared" ref="D5:AC5" si="0">C5+1</f>
        <v>2</v>
      </c>
      <c r="E5" s="299">
        <f t="shared" si="0"/>
        <v>3</v>
      </c>
      <c r="F5" s="299">
        <f t="shared" si="0"/>
        <v>4</v>
      </c>
      <c r="G5" s="299">
        <f t="shared" si="0"/>
        <v>5</v>
      </c>
      <c r="H5" s="299">
        <f t="shared" si="0"/>
        <v>6</v>
      </c>
      <c r="I5" s="299">
        <f t="shared" si="0"/>
        <v>7</v>
      </c>
      <c r="J5" s="299">
        <f t="shared" si="0"/>
        <v>8</v>
      </c>
      <c r="K5" s="299">
        <f t="shared" si="0"/>
        <v>9</v>
      </c>
      <c r="L5" s="299">
        <f t="shared" si="0"/>
        <v>10</v>
      </c>
      <c r="M5" s="299">
        <f t="shared" si="0"/>
        <v>11</v>
      </c>
      <c r="N5" s="299">
        <f t="shared" si="0"/>
        <v>12</v>
      </c>
      <c r="O5" s="299">
        <f t="shared" si="0"/>
        <v>13</v>
      </c>
      <c r="P5" s="299">
        <f t="shared" si="0"/>
        <v>14</v>
      </c>
      <c r="Q5" s="299">
        <f t="shared" si="0"/>
        <v>15</v>
      </c>
      <c r="R5" s="299">
        <f t="shared" si="0"/>
        <v>16</v>
      </c>
      <c r="S5" s="299">
        <f t="shared" si="0"/>
        <v>17</v>
      </c>
      <c r="T5" s="299">
        <f>S5+1</f>
        <v>18</v>
      </c>
      <c r="U5" s="299">
        <f>T5+1</f>
        <v>19</v>
      </c>
      <c r="V5" s="299">
        <f>U5+1</f>
        <v>20</v>
      </c>
      <c r="W5" s="299">
        <f t="shared" ref="W5:AB5" si="1">V5+1</f>
        <v>21</v>
      </c>
      <c r="X5" s="299">
        <f t="shared" si="1"/>
        <v>22</v>
      </c>
      <c r="Y5" s="299">
        <f t="shared" si="1"/>
        <v>23</v>
      </c>
      <c r="Z5" s="299">
        <f t="shared" si="1"/>
        <v>24</v>
      </c>
      <c r="AA5" s="299">
        <f t="shared" si="1"/>
        <v>25</v>
      </c>
      <c r="AB5" s="299">
        <f t="shared" si="1"/>
        <v>26</v>
      </c>
      <c r="AC5" s="299">
        <f t="shared" si="0"/>
        <v>27</v>
      </c>
    </row>
    <row r="6" spans="1:44">
      <c r="A6" s="257">
        <v>1</v>
      </c>
      <c r="B6" s="258" t="s">
        <v>179</v>
      </c>
      <c r="C6" s="259">
        <f>'Table 2 Distributions &amp; Adjust'!S7</f>
        <v>4416963</v>
      </c>
      <c r="D6" s="260"/>
      <c r="E6" s="260"/>
      <c r="F6" s="260"/>
      <c r="G6" s="260"/>
      <c r="H6" s="260"/>
      <c r="I6" s="260"/>
      <c r="J6" s="260"/>
      <c r="K6" s="260"/>
      <c r="L6" s="260"/>
      <c r="M6" s="260">
        <f>-'Table 5C2 - LA Virtual Admy '!AJ5</f>
        <v>-6419</v>
      </c>
      <c r="N6" s="260">
        <f>-'Table 5C3 - LA Connections  '!AJ5</f>
        <v>-3122</v>
      </c>
      <c r="O6" s="260">
        <f>-'Table 5E_OJJ'!R7</f>
        <v>-254</v>
      </c>
      <c r="P6" s="301">
        <f>SUM(C6:O6)</f>
        <v>4407168</v>
      </c>
      <c r="Q6" s="260"/>
      <c r="R6" s="260"/>
      <c r="S6" s="260"/>
      <c r="T6" s="260"/>
      <c r="U6" s="260"/>
      <c r="V6" s="260"/>
      <c r="W6" s="260"/>
      <c r="X6" s="260"/>
      <c r="Y6" s="260"/>
      <c r="Z6" s="260">
        <f>'Table 5C2 - LA Virtual Admy '!AQ5</f>
        <v>-41</v>
      </c>
      <c r="AA6" s="260">
        <f>'Table 5C3 - LA Connections  '!AO5</f>
        <v>-25</v>
      </c>
      <c r="AB6" s="301">
        <f>SUM(P6:AA6)</f>
        <v>4407102</v>
      </c>
      <c r="AC6" s="256"/>
      <c r="AI6"/>
      <c r="AR6"/>
    </row>
    <row r="7" spans="1:44">
      <c r="A7" s="257">
        <v>2</v>
      </c>
      <c r="B7" s="258" t="s">
        <v>180</v>
      </c>
      <c r="C7" s="259">
        <f>'Table 2 Distributions &amp; Adjust'!S8</f>
        <v>2306198</v>
      </c>
      <c r="D7" s="260"/>
      <c r="E7" s="260"/>
      <c r="F7" s="260"/>
      <c r="G7" s="260"/>
      <c r="H7" s="260"/>
      <c r="I7" s="260"/>
      <c r="J7" s="260"/>
      <c r="K7" s="260"/>
      <c r="L7" s="260"/>
      <c r="M7" s="260">
        <f>-'Table 5C2 - LA Virtual Admy '!AJ6</f>
        <v>-4597</v>
      </c>
      <c r="N7" s="260">
        <f>-'Table 5C3 - LA Connections  '!AJ6</f>
        <v>-477</v>
      </c>
      <c r="O7" s="260">
        <f>-'Table 5E_OJJ'!R8</f>
        <v>0</v>
      </c>
      <c r="P7" s="301">
        <f t="shared" ref="P7:P70" si="2">SUM(C7:O7)</f>
        <v>2301124</v>
      </c>
      <c r="Q7" s="260"/>
      <c r="R7" s="260"/>
      <c r="S7" s="260"/>
      <c r="T7" s="260"/>
      <c r="U7" s="260"/>
      <c r="V7" s="260"/>
      <c r="W7" s="260"/>
      <c r="X7" s="260"/>
      <c r="Y7" s="260"/>
      <c r="Z7" s="260">
        <f>'Table 5C2 - LA Virtual Admy '!AQ6</f>
        <v>-41</v>
      </c>
      <c r="AA7" s="260">
        <f>'Table 5C3 - LA Connections  '!AO6</f>
        <v>-3</v>
      </c>
      <c r="AB7" s="301">
        <f t="shared" ref="AB7:AB70" si="3">SUM(P7:AA7)</f>
        <v>2301080</v>
      </c>
      <c r="AC7" s="256"/>
      <c r="AI7"/>
      <c r="AR7"/>
    </row>
    <row r="8" spans="1:44">
      <c r="A8" s="257">
        <v>3</v>
      </c>
      <c r="B8" s="258" t="s">
        <v>181</v>
      </c>
      <c r="C8" s="259">
        <f>'Table 2 Distributions &amp; Adjust'!S9</f>
        <v>8326107</v>
      </c>
      <c r="D8" s="260"/>
      <c r="E8" s="260"/>
      <c r="F8" s="260"/>
      <c r="G8" s="260"/>
      <c r="H8" s="260"/>
      <c r="I8" s="260"/>
      <c r="J8" s="260"/>
      <c r="K8" s="260"/>
      <c r="L8" s="260"/>
      <c r="M8" s="260">
        <f>-'Table 5C2 - LA Virtual Admy '!AJ7</f>
        <v>-19778</v>
      </c>
      <c r="N8" s="260">
        <f>-'Table 5C3 - LA Connections  '!AJ7</f>
        <v>-4291</v>
      </c>
      <c r="O8" s="260">
        <f>-'Table 5E_OJJ'!R9</f>
        <v>-306</v>
      </c>
      <c r="P8" s="301">
        <f t="shared" si="2"/>
        <v>8301732</v>
      </c>
      <c r="Q8" s="260"/>
      <c r="R8" s="260"/>
      <c r="S8" s="260"/>
      <c r="T8" s="260"/>
      <c r="U8" s="260"/>
      <c r="V8" s="260"/>
      <c r="W8" s="260"/>
      <c r="X8" s="260"/>
      <c r="Y8" s="260"/>
      <c r="Z8" s="260">
        <f>'Table 5C2 - LA Virtual Admy '!AQ7</f>
        <v>-150</v>
      </c>
      <c r="AA8" s="260">
        <f>'Table 5C3 - LA Connections  '!AO7</f>
        <v>-5</v>
      </c>
      <c r="AB8" s="301">
        <f t="shared" si="3"/>
        <v>8301577</v>
      </c>
      <c r="AC8" s="256"/>
      <c r="AI8"/>
      <c r="AR8"/>
    </row>
    <row r="9" spans="1:44">
      <c r="A9" s="257">
        <v>4</v>
      </c>
      <c r="B9" s="258" t="s">
        <v>182</v>
      </c>
      <c r="C9" s="259">
        <f>'Table 2 Distributions &amp; Adjust'!S10</f>
        <v>1949161</v>
      </c>
      <c r="D9" s="260"/>
      <c r="E9" s="260"/>
      <c r="F9" s="260"/>
      <c r="G9" s="260"/>
      <c r="H9" s="260"/>
      <c r="I9" s="260"/>
      <c r="J9" s="260"/>
      <c r="K9" s="260"/>
      <c r="L9" s="260"/>
      <c r="M9" s="260">
        <f>-'Table 5C2 - LA Virtual Admy '!AJ8</f>
        <v>-1519</v>
      </c>
      <c r="N9" s="260">
        <f>-'Table 5C3 - LA Connections  '!AJ8</f>
        <v>-1612</v>
      </c>
      <c r="O9" s="260">
        <f>-'Table 5E_OJJ'!R10</f>
        <v>-573</v>
      </c>
      <c r="P9" s="301">
        <f t="shared" si="2"/>
        <v>1945457</v>
      </c>
      <c r="Q9" s="260"/>
      <c r="R9" s="260"/>
      <c r="S9" s="260"/>
      <c r="T9" s="260"/>
      <c r="U9" s="260"/>
      <c r="V9" s="260"/>
      <c r="W9" s="260"/>
      <c r="X9" s="260"/>
      <c r="Y9" s="260"/>
      <c r="Z9" s="260">
        <f>'Table 5C2 - LA Virtual Admy '!AQ8</f>
        <v>0</v>
      </c>
      <c r="AA9" s="260">
        <f>'Table 5C3 - LA Connections  '!AO8</f>
        <v>-12</v>
      </c>
      <c r="AB9" s="301">
        <f t="shared" si="3"/>
        <v>1945445</v>
      </c>
      <c r="AC9" s="256"/>
      <c r="AI9"/>
      <c r="AR9"/>
    </row>
    <row r="10" spans="1:44">
      <c r="A10" s="266">
        <v>5</v>
      </c>
      <c r="B10" s="267" t="s">
        <v>183</v>
      </c>
      <c r="C10" s="268">
        <f>'Table 2 Distributions &amp; Adjust'!S11</f>
        <v>2515289</v>
      </c>
      <c r="D10" s="269"/>
      <c r="E10" s="269"/>
      <c r="F10" s="269"/>
      <c r="G10" s="269"/>
      <c r="H10" s="269"/>
      <c r="I10" s="269"/>
      <c r="J10" s="269"/>
      <c r="K10" s="269"/>
      <c r="L10" s="269"/>
      <c r="M10" s="269">
        <f>-'Table 5C2 - LA Virtual Admy '!AJ9</f>
        <v>-2149</v>
      </c>
      <c r="N10" s="269">
        <f>-'Table 5C3 - LA Connections  '!AJ9</f>
        <v>928</v>
      </c>
      <c r="O10" s="269">
        <f>-'Table 5E_OJJ'!R11</f>
        <v>-677</v>
      </c>
      <c r="P10" s="302">
        <f t="shared" si="2"/>
        <v>2513391</v>
      </c>
      <c r="Q10" s="269"/>
      <c r="R10" s="269"/>
      <c r="S10" s="269"/>
      <c r="T10" s="269"/>
      <c r="U10" s="269"/>
      <c r="V10" s="269"/>
      <c r="W10" s="269"/>
      <c r="X10" s="269"/>
      <c r="Y10" s="269"/>
      <c r="Z10" s="269">
        <f>'Table 5C2 - LA Virtual Admy '!AQ9</f>
        <v>-7</v>
      </c>
      <c r="AA10" s="269">
        <f>'Table 5C3 - LA Connections  '!AO9</f>
        <v>21</v>
      </c>
      <c r="AB10" s="302">
        <f t="shared" si="3"/>
        <v>2513405</v>
      </c>
      <c r="AC10" s="256"/>
      <c r="AI10"/>
      <c r="AR10"/>
    </row>
    <row r="11" spans="1:44">
      <c r="A11" s="257">
        <v>6</v>
      </c>
      <c r="B11" s="258" t="s">
        <v>184</v>
      </c>
      <c r="C11" s="259">
        <f>'Table 2 Distributions &amp; Adjust'!S12</f>
        <v>3046301</v>
      </c>
      <c r="D11" s="260"/>
      <c r="E11" s="260"/>
      <c r="F11" s="260"/>
      <c r="G11" s="260"/>
      <c r="H11" s="260"/>
      <c r="I11" s="260"/>
      <c r="J11" s="260"/>
      <c r="K11" s="260"/>
      <c r="L11" s="260"/>
      <c r="M11" s="260">
        <f>-'Table 5C2 - LA Virtual Admy '!AJ10</f>
        <v>-6271</v>
      </c>
      <c r="N11" s="260">
        <f>-'Table 5C3 - LA Connections  '!AJ10</f>
        <v>-444</v>
      </c>
      <c r="O11" s="260">
        <f>-'Table 5E_OJJ'!R12</f>
        <v>-288</v>
      </c>
      <c r="P11" s="301">
        <f t="shared" si="2"/>
        <v>3039298</v>
      </c>
      <c r="Q11" s="260"/>
      <c r="R11" s="260"/>
      <c r="S11" s="260"/>
      <c r="T11" s="260"/>
      <c r="U11" s="260"/>
      <c r="V11" s="260"/>
      <c r="W11" s="260"/>
      <c r="X11" s="260"/>
      <c r="Y11" s="260"/>
      <c r="Z11" s="260">
        <f>'Table 5C2 - LA Virtual Admy '!AQ10</f>
        <v>-38</v>
      </c>
      <c r="AA11" s="260">
        <f>'Table 5C3 - LA Connections  '!AO10</f>
        <v>7</v>
      </c>
      <c r="AB11" s="301">
        <f t="shared" si="3"/>
        <v>3039267</v>
      </c>
      <c r="AC11" s="256"/>
      <c r="AI11"/>
      <c r="AR11"/>
    </row>
    <row r="12" spans="1:44">
      <c r="A12" s="257">
        <v>7</v>
      </c>
      <c r="B12" s="258" t="s">
        <v>185</v>
      </c>
      <c r="C12" s="259">
        <f>'Table 2 Distributions &amp; Adjust'!S13</f>
        <v>425416</v>
      </c>
      <c r="D12" s="260"/>
      <c r="E12" s="260"/>
      <c r="F12" s="260"/>
      <c r="G12" s="260"/>
      <c r="H12" s="260"/>
      <c r="I12" s="260"/>
      <c r="J12" s="260"/>
      <c r="K12" s="260"/>
      <c r="L12" s="260"/>
      <c r="M12" s="260">
        <f>-'Table 5C2 - LA Virtual Admy '!AJ11</f>
        <v>-6585</v>
      </c>
      <c r="N12" s="260">
        <f>-'Table 5C3 - LA Connections  '!AJ11</f>
        <v>-15565</v>
      </c>
      <c r="O12" s="260">
        <f>-'Table 5E_OJJ'!R13</f>
        <v>-132</v>
      </c>
      <c r="P12" s="301">
        <f t="shared" si="2"/>
        <v>403134</v>
      </c>
      <c r="Q12" s="260"/>
      <c r="R12" s="260"/>
      <c r="S12" s="260"/>
      <c r="T12" s="260"/>
      <c r="U12" s="260"/>
      <c r="V12" s="260"/>
      <c r="W12" s="260"/>
      <c r="X12" s="260"/>
      <c r="Y12" s="260"/>
      <c r="Z12" s="260">
        <f>'Table 5C2 - LA Virtual Admy '!AQ11</f>
        <v>0</v>
      </c>
      <c r="AA12" s="260">
        <f>'Table 5C3 - LA Connections  '!AO11</f>
        <v>-156</v>
      </c>
      <c r="AB12" s="301">
        <f t="shared" si="3"/>
        <v>402978</v>
      </c>
      <c r="AC12" s="256"/>
      <c r="AI12"/>
      <c r="AR12"/>
    </row>
    <row r="13" spans="1:44">
      <c r="A13" s="257">
        <v>8</v>
      </c>
      <c r="B13" s="258" t="s">
        <v>186</v>
      </c>
      <c r="C13" s="259">
        <f>'Table 2 Distributions &amp; Adjust'!S14</f>
        <v>8540071</v>
      </c>
      <c r="D13" s="260"/>
      <c r="E13" s="260"/>
      <c r="F13" s="260"/>
      <c r="G13" s="260"/>
      <c r="H13" s="260"/>
      <c r="I13" s="260"/>
      <c r="J13" s="260"/>
      <c r="K13" s="260"/>
      <c r="L13" s="260"/>
      <c r="M13" s="260">
        <f>-'Table 5C2 - LA Virtual Admy '!AJ12</f>
        <v>-16059</v>
      </c>
      <c r="N13" s="260">
        <f>-'Table 5C3 - LA Connections  '!AJ12</f>
        <v>-8075</v>
      </c>
      <c r="O13" s="260">
        <f>-'Table 5E_OJJ'!R14</f>
        <v>-328</v>
      </c>
      <c r="P13" s="301">
        <f t="shared" si="2"/>
        <v>8515609</v>
      </c>
      <c r="Q13" s="260"/>
      <c r="R13" s="260"/>
      <c r="S13" s="260"/>
      <c r="T13" s="260"/>
      <c r="U13" s="260"/>
      <c r="V13" s="260"/>
      <c r="W13" s="260"/>
      <c r="X13" s="260"/>
      <c r="Y13" s="260"/>
      <c r="Z13" s="260">
        <f>'Table 5C2 - LA Virtual Admy '!AQ12</f>
        <v>2</v>
      </c>
      <c r="AA13" s="260">
        <f>'Table 5C3 - LA Connections  '!AO12</f>
        <v>-30</v>
      </c>
      <c r="AB13" s="301">
        <f t="shared" si="3"/>
        <v>8515581</v>
      </c>
      <c r="AC13" s="256"/>
      <c r="AI13"/>
      <c r="AR13"/>
    </row>
    <row r="14" spans="1:44">
      <c r="A14" s="257">
        <v>9</v>
      </c>
      <c r="B14" s="258" t="s">
        <v>77</v>
      </c>
      <c r="C14" s="259">
        <f>'Table 2 Distributions &amp; Adjust'!S15</f>
        <v>17267030</v>
      </c>
      <c r="D14" s="260">
        <f>-'Table 5B2_RSD_LA'!AN30</f>
        <v>-219248.375</v>
      </c>
      <c r="E14" s="260"/>
      <c r="F14" s="260"/>
      <c r="G14" s="260"/>
      <c r="H14" s="260"/>
      <c r="I14" s="260"/>
      <c r="J14" s="260"/>
      <c r="K14" s="260"/>
      <c r="L14" s="260"/>
      <c r="M14" s="260">
        <f>-'Table 5C2 - LA Virtual Admy '!AJ13</f>
        <v>-37173</v>
      </c>
      <c r="N14" s="260">
        <f>-'Table 5C3 - LA Connections  '!AJ13</f>
        <v>-12715</v>
      </c>
      <c r="O14" s="260">
        <f>-'Table 5E_OJJ'!R15</f>
        <v>-10332</v>
      </c>
      <c r="P14" s="301">
        <f t="shared" si="2"/>
        <v>16987561.625</v>
      </c>
      <c r="Q14" s="260">
        <f>'Table 5B2_RSD_LA'!AJ51</f>
        <v>3496</v>
      </c>
      <c r="R14" s="260">
        <f>'Table 5B2_RSD_LA'!AK51</f>
        <v>499</v>
      </c>
      <c r="S14" s="260"/>
      <c r="T14" s="260"/>
      <c r="U14" s="260"/>
      <c r="V14" s="260"/>
      <c r="W14" s="260"/>
      <c r="X14" s="260"/>
      <c r="Y14" s="260"/>
      <c r="Z14" s="260">
        <f>'Table 5C2 - LA Virtual Admy '!AQ13</f>
        <v>-72</v>
      </c>
      <c r="AA14" s="260">
        <f>'Table 5C3 - LA Connections  '!AO13</f>
        <v>0</v>
      </c>
      <c r="AB14" s="301">
        <f t="shared" si="3"/>
        <v>16991484.625</v>
      </c>
      <c r="AC14" s="256"/>
      <c r="AI14"/>
      <c r="AR14"/>
    </row>
    <row r="15" spans="1:44">
      <c r="A15" s="266">
        <v>10</v>
      </c>
      <c r="B15" s="267" t="s">
        <v>187</v>
      </c>
      <c r="C15" s="268">
        <f>'Table 2 Distributions &amp; Adjust'!S16</f>
        <v>12370133</v>
      </c>
      <c r="D15" s="269"/>
      <c r="E15" s="269"/>
      <c r="F15" s="269"/>
      <c r="G15" s="269"/>
      <c r="H15" s="269"/>
      <c r="I15" s="269"/>
      <c r="J15" s="269"/>
      <c r="K15" s="269"/>
      <c r="L15" s="269">
        <f>-'Table 5C1 - Type 2s'!AI91</f>
        <v>-224128.43906250002</v>
      </c>
      <c r="M15" s="269">
        <f>-'Table 5C2 - LA Virtual Admy '!AJ14</f>
        <v>-22379</v>
      </c>
      <c r="N15" s="269">
        <f>-'Table 5C3 - LA Connections  '!AJ14</f>
        <v>2271</v>
      </c>
      <c r="O15" s="269">
        <f>-'Table 5E_OJJ'!R16</f>
        <v>-1586</v>
      </c>
      <c r="P15" s="302">
        <f t="shared" si="2"/>
        <v>12124310.5609375</v>
      </c>
      <c r="Q15" s="269"/>
      <c r="R15" s="269"/>
      <c r="S15" s="269"/>
      <c r="T15" s="269"/>
      <c r="U15" s="269"/>
      <c r="V15" s="269"/>
      <c r="W15" s="269"/>
      <c r="X15" s="269"/>
      <c r="Y15" s="269">
        <f>'Table 5C1 - Type 2s'!AN91</f>
        <v>-78.743750000000546</v>
      </c>
      <c r="Z15" s="269">
        <f>'Table 5C2 - LA Virtual Admy '!AQ14</f>
        <v>-34</v>
      </c>
      <c r="AA15" s="269">
        <f>'Table 5C3 - LA Connections  '!AO14</f>
        <v>161</v>
      </c>
      <c r="AB15" s="302">
        <f t="shared" si="3"/>
        <v>12124358.817187499</v>
      </c>
      <c r="AC15" s="256"/>
      <c r="AI15"/>
      <c r="AR15"/>
    </row>
    <row r="16" spans="1:44">
      <c r="A16" s="257">
        <v>11</v>
      </c>
      <c r="B16" s="258" t="s">
        <v>188</v>
      </c>
      <c r="C16" s="259">
        <f>'Table 2 Distributions &amp; Adjust'!S17</f>
        <v>906897</v>
      </c>
      <c r="D16" s="260"/>
      <c r="E16" s="260"/>
      <c r="F16" s="260"/>
      <c r="G16" s="260"/>
      <c r="H16" s="260"/>
      <c r="I16" s="260"/>
      <c r="J16" s="260"/>
      <c r="K16" s="260"/>
      <c r="L16" s="260"/>
      <c r="M16" s="260">
        <f>-'Table 5C2 - LA Virtual Admy '!AJ15</f>
        <v>-1420</v>
      </c>
      <c r="N16" s="260">
        <f>-'Table 5C3 - LA Connections  '!AJ15</f>
        <v>0</v>
      </c>
      <c r="O16" s="260">
        <f>-'Table 5E_OJJ'!R17</f>
        <v>0</v>
      </c>
      <c r="P16" s="301">
        <f t="shared" si="2"/>
        <v>905477</v>
      </c>
      <c r="Q16" s="260"/>
      <c r="R16" s="260"/>
      <c r="S16" s="260"/>
      <c r="T16" s="260"/>
      <c r="U16" s="260"/>
      <c r="V16" s="260"/>
      <c r="W16" s="260"/>
      <c r="X16" s="260"/>
      <c r="Y16" s="260"/>
      <c r="Z16" s="260">
        <f>'Table 5C2 - LA Virtual Admy '!AQ15</f>
        <v>-13</v>
      </c>
      <c r="AA16" s="260">
        <f>'Table 5C3 - LA Connections  '!AO15</f>
        <v>0</v>
      </c>
      <c r="AB16" s="301">
        <f t="shared" si="3"/>
        <v>905464</v>
      </c>
      <c r="AC16" s="256"/>
      <c r="AI16"/>
      <c r="AR16"/>
    </row>
    <row r="17" spans="1:44">
      <c r="A17" s="257">
        <v>12</v>
      </c>
      <c r="B17" s="258" t="s">
        <v>189</v>
      </c>
      <c r="C17" s="259">
        <f>'Table 2 Distributions &amp; Adjust'!S18</f>
        <v>280820</v>
      </c>
      <c r="D17" s="260"/>
      <c r="E17" s="260"/>
      <c r="F17" s="260"/>
      <c r="G17" s="260"/>
      <c r="H17" s="260"/>
      <c r="I17" s="260"/>
      <c r="J17" s="260"/>
      <c r="K17" s="260"/>
      <c r="L17" s="260"/>
      <c r="M17" s="260">
        <f>-'Table 5C2 - LA Virtual Admy '!AJ16</f>
        <v>1628</v>
      </c>
      <c r="N17" s="260">
        <f>-'Table 5C3 - LA Connections  '!AJ16</f>
        <v>-2489</v>
      </c>
      <c r="O17" s="260">
        <f>-'Table 5E_OJJ'!R18</f>
        <v>0</v>
      </c>
      <c r="P17" s="301">
        <f t="shared" si="2"/>
        <v>279959</v>
      </c>
      <c r="Q17" s="260"/>
      <c r="R17" s="260"/>
      <c r="S17" s="260"/>
      <c r="T17" s="260"/>
      <c r="U17" s="260"/>
      <c r="V17" s="260"/>
      <c r="W17" s="260"/>
      <c r="X17" s="260"/>
      <c r="Y17" s="260"/>
      <c r="Z17" s="260">
        <f>'Table 5C2 - LA Virtual Admy '!AQ16</f>
        <v>24</v>
      </c>
      <c r="AA17" s="260">
        <f>'Table 5C3 - LA Connections  '!AO16</f>
        <v>-25</v>
      </c>
      <c r="AB17" s="301">
        <f t="shared" si="3"/>
        <v>279958</v>
      </c>
      <c r="AC17" s="256"/>
      <c r="AI17"/>
      <c r="AR17"/>
    </row>
    <row r="18" spans="1:44">
      <c r="A18" s="257">
        <v>13</v>
      </c>
      <c r="B18" s="258" t="s">
        <v>190</v>
      </c>
      <c r="C18" s="259">
        <f>'Table 2 Distributions &amp; Adjust'!S19</f>
        <v>844747</v>
      </c>
      <c r="D18" s="260"/>
      <c r="E18" s="260"/>
      <c r="F18" s="260"/>
      <c r="G18" s="260"/>
      <c r="H18" s="260"/>
      <c r="I18" s="260"/>
      <c r="J18" s="260"/>
      <c r="K18" s="260"/>
      <c r="L18" s="260"/>
      <c r="M18" s="260">
        <f>-'Table 5C2 - LA Virtual Admy '!AJ17</f>
        <v>-5505</v>
      </c>
      <c r="N18" s="260">
        <f>-'Table 5C3 - LA Connections  '!AJ17</f>
        <v>-1803</v>
      </c>
      <c r="O18" s="260">
        <f>-'Table 5E_OJJ'!R19</f>
        <v>0</v>
      </c>
      <c r="P18" s="301">
        <f t="shared" si="2"/>
        <v>837439</v>
      </c>
      <c r="Q18" s="260"/>
      <c r="R18" s="260"/>
      <c r="S18" s="260"/>
      <c r="T18" s="260"/>
      <c r="U18" s="260"/>
      <c r="V18" s="260"/>
      <c r="W18" s="260"/>
      <c r="X18" s="260"/>
      <c r="Y18" s="260"/>
      <c r="Z18" s="260">
        <f>'Table 5C2 - LA Virtual Admy '!AQ17</f>
        <v>-46</v>
      </c>
      <c r="AA18" s="260">
        <f>'Table 5C3 - LA Connections  '!AO17</f>
        <v>-17</v>
      </c>
      <c r="AB18" s="301">
        <f t="shared" si="3"/>
        <v>837376</v>
      </c>
      <c r="AC18" s="256"/>
      <c r="AI18"/>
      <c r="AR18"/>
    </row>
    <row r="19" spans="1:44">
      <c r="A19" s="257">
        <v>14</v>
      </c>
      <c r="B19" s="258" t="s">
        <v>191</v>
      </c>
      <c r="C19" s="259">
        <f>'Table 2 Distributions &amp; Adjust'!S20</f>
        <v>1017302</v>
      </c>
      <c r="D19" s="260"/>
      <c r="E19" s="260"/>
      <c r="F19" s="260"/>
      <c r="G19" s="260"/>
      <c r="H19" s="260"/>
      <c r="I19" s="260"/>
      <c r="J19" s="260"/>
      <c r="K19" s="260"/>
      <c r="L19" s="260"/>
      <c r="M19" s="260">
        <f>-'Table 5C2 - LA Virtual Admy '!AJ18</f>
        <v>-2059</v>
      </c>
      <c r="N19" s="260">
        <f>-'Table 5C3 - LA Connections  '!AJ18</f>
        <v>-3842</v>
      </c>
      <c r="O19" s="260">
        <f>-'Table 5E_OJJ'!R20</f>
        <v>-73</v>
      </c>
      <c r="P19" s="301">
        <f t="shared" si="2"/>
        <v>1011328</v>
      </c>
      <c r="Q19" s="260"/>
      <c r="R19" s="260"/>
      <c r="S19" s="260"/>
      <c r="T19" s="260"/>
      <c r="U19" s="260"/>
      <c r="V19" s="260"/>
      <c r="W19" s="260"/>
      <c r="X19" s="260"/>
      <c r="Y19" s="260"/>
      <c r="Z19" s="260">
        <f>'Table 5C2 - LA Virtual Admy '!AQ18</f>
        <v>-16</v>
      </c>
      <c r="AA19" s="260">
        <f>'Table 5C3 - LA Connections  '!AO18</f>
        <v>-32</v>
      </c>
      <c r="AB19" s="301">
        <f t="shared" si="3"/>
        <v>1011280</v>
      </c>
      <c r="AC19" s="256"/>
      <c r="AI19"/>
      <c r="AR19"/>
    </row>
    <row r="20" spans="1:44">
      <c r="A20" s="266">
        <v>15</v>
      </c>
      <c r="B20" s="267" t="s">
        <v>192</v>
      </c>
      <c r="C20" s="268">
        <f>'Table 2 Distributions &amp; Adjust'!S21</f>
        <v>1738263</v>
      </c>
      <c r="D20" s="269"/>
      <c r="E20" s="269"/>
      <c r="F20" s="269"/>
      <c r="G20" s="269"/>
      <c r="H20" s="269"/>
      <c r="I20" s="269"/>
      <c r="J20" s="269"/>
      <c r="K20" s="269"/>
      <c r="L20" s="269"/>
      <c r="M20" s="269">
        <f>-'Table 5C2 - LA Virtual Admy '!AJ19</f>
        <v>-1109</v>
      </c>
      <c r="N20" s="269">
        <f>-'Table 5C3 - LA Connections  '!AJ19</f>
        <v>-572</v>
      </c>
      <c r="O20" s="269">
        <f>-'Table 5E_OJJ'!R21</f>
        <v>-227</v>
      </c>
      <c r="P20" s="302">
        <f t="shared" si="2"/>
        <v>1736355</v>
      </c>
      <c r="Q20" s="269"/>
      <c r="R20" s="269"/>
      <c r="S20" s="269"/>
      <c r="T20" s="269"/>
      <c r="U20" s="269"/>
      <c r="V20" s="269"/>
      <c r="W20" s="269"/>
      <c r="X20" s="269"/>
      <c r="Y20" s="269"/>
      <c r="Z20" s="269">
        <f>'Table 5C2 - LA Virtual Admy '!AQ19</f>
        <v>-4</v>
      </c>
      <c r="AA20" s="269">
        <f>'Table 5C3 - LA Connections  '!AO19</f>
        <v>-6</v>
      </c>
      <c r="AB20" s="302">
        <f t="shared" si="3"/>
        <v>1736345</v>
      </c>
      <c r="AC20" s="256"/>
      <c r="AI20"/>
      <c r="AR20"/>
    </row>
    <row r="21" spans="1:44">
      <c r="A21" s="257">
        <v>16</v>
      </c>
      <c r="B21" s="258" t="s">
        <v>193</v>
      </c>
      <c r="C21" s="259">
        <f>'Table 2 Distributions &amp; Adjust'!S22</f>
        <v>906801</v>
      </c>
      <c r="D21" s="260"/>
      <c r="E21" s="260"/>
      <c r="F21" s="260"/>
      <c r="G21" s="260"/>
      <c r="H21" s="260"/>
      <c r="I21" s="260"/>
      <c r="J21" s="260"/>
      <c r="K21" s="260"/>
      <c r="L21" s="260"/>
      <c r="M21" s="260">
        <f>-'Table 5C2 - LA Virtual Admy '!AJ20</f>
        <v>-44300</v>
      </c>
      <c r="N21" s="260">
        <f>-'Table 5C3 - LA Connections  '!AJ20</f>
        <v>-3804</v>
      </c>
      <c r="O21" s="260">
        <f>-'Table 5E_OJJ'!R22</f>
        <v>-1505</v>
      </c>
      <c r="P21" s="301">
        <f t="shared" si="2"/>
        <v>857192</v>
      </c>
      <c r="Q21" s="260"/>
      <c r="R21" s="260"/>
      <c r="S21" s="260"/>
      <c r="T21" s="260"/>
      <c r="U21" s="260"/>
      <c r="V21" s="260"/>
      <c r="W21" s="260"/>
      <c r="X21" s="260"/>
      <c r="Y21" s="260"/>
      <c r="Z21" s="260">
        <f>'Table 5C2 - LA Virtual Admy '!AQ20</f>
        <v>-345</v>
      </c>
      <c r="AA21" s="260">
        <f>'Table 5C3 - LA Connections  '!AO20</f>
        <v>-24</v>
      </c>
      <c r="AB21" s="301">
        <f t="shared" si="3"/>
        <v>856823</v>
      </c>
      <c r="AC21" s="256"/>
      <c r="AI21"/>
      <c r="AR21"/>
    </row>
    <row r="22" spans="1:44">
      <c r="A22" s="257">
        <v>17</v>
      </c>
      <c r="B22" s="258" t="s">
        <v>75</v>
      </c>
      <c r="C22" s="259">
        <f>'Table 2 Distributions &amp; Adjust'!S23</f>
        <v>14178898</v>
      </c>
      <c r="D22" s="260">
        <f>-'Table 5B2_RSD_LA'!AN18</f>
        <v>-1093970.4650000001</v>
      </c>
      <c r="E22" s="260"/>
      <c r="F22" s="260">
        <f>-'Table 5C1 - Type 2s'!AI6</f>
        <v>-98046.212083333317</v>
      </c>
      <c r="G22" s="260"/>
      <c r="H22" s="260"/>
      <c r="I22" s="260"/>
      <c r="J22" s="260"/>
      <c r="K22" s="260"/>
      <c r="L22" s="260"/>
      <c r="M22" s="260">
        <f>-'Table 5C2 - LA Virtual Admy '!AJ21</f>
        <v>-37404</v>
      </c>
      <c r="N22" s="260">
        <f>-'Table 5C3 - LA Connections  '!AJ21</f>
        <v>-24780</v>
      </c>
      <c r="O22" s="260">
        <f>-'Table 5E_OJJ'!R23</f>
        <v>-15333</v>
      </c>
      <c r="P22" s="301">
        <f t="shared" si="2"/>
        <v>12909364.322916666</v>
      </c>
      <c r="Q22" s="260">
        <f>'Table 5B2_RSD_LA'!AF51</f>
        <v>12113</v>
      </c>
      <c r="R22" s="260">
        <f>'Table 5B2_RSD_LA'!AG51</f>
        <v>1731</v>
      </c>
      <c r="S22" s="260"/>
      <c r="T22" s="260">
        <f>'Table 5C1 - Type 2s'!AN6</f>
        <v>-516.1550000000002</v>
      </c>
      <c r="U22" s="260"/>
      <c r="V22" s="260"/>
      <c r="W22" s="260"/>
      <c r="X22" s="260"/>
      <c r="Y22" s="260"/>
      <c r="Z22" s="260">
        <f>'Table 5C2 - LA Virtual Admy '!AQ21</f>
        <v>-43</v>
      </c>
      <c r="AA22" s="260">
        <f>'Table 5C3 - LA Connections  '!AO21</f>
        <v>-29</v>
      </c>
      <c r="AB22" s="301">
        <f t="shared" si="3"/>
        <v>12922620.167916667</v>
      </c>
      <c r="AC22" s="256"/>
      <c r="AI22"/>
      <c r="AR22"/>
    </row>
    <row r="23" spans="1:44">
      <c r="A23" s="257">
        <v>18</v>
      </c>
      <c r="B23" s="258" t="s">
        <v>194</v>
      </c>
      <c r="C23" s="259">
        <f>'Table 2 Distributions &amp; Adjust'!S24</f>
        <v>611001</v>
      </c>
      <c r="D23" s="260"/>
      <c r="E23" s="260"/>
      <c r="F23" s="260"/>
      <c r="G23" s="260"/>
      <c r="H23" s="260"/>
      <c r="I23" s="260"/>
      <c r="J23" s="260"/>
      <c r="K23" s="260"/>
      <c r="L23" s="260"/>
      <c r="M23" s="260">
        <f>-'Table 5C2 - LA Virtual Admy '!AJ22</f>
        <v>366</v>
      </c>
      <c r="N23" s="260">
        <f>-'Table 5C3 - LA Connections  '!AJ22</f>
        <v>262</v>
      </c>
      <c r="O23" s="260">
        <f>-'Table 5E_OJJ'!R24</f>
        <v>-586</v>
      </c>
      <c r="P23" s="301">
        <f t="shared" si="2"/>
        <v>611043</v>
      </c>
      <c r="Q23" s="260"/>
      <c r="R23" s="260"/>
      <c r="S23" s="260"/>
      <c r="T23" s="260"/>
      <c r="U23" s="260"/>
      <c r="V23" s="260"/>
      <c r="W23" s="260"/>
      <c r="X23" s="260"/>
      <c r="Y23" s="260"/>
      <c r="Z23" s="260">
        <f>'Table 5C2 - LA Virtual Admy '!AQ22</f>
        <v>8</v>
      </c>
      <c r="AA23" s="260">
        <f>'Table 5C3 - LA Connections  '!AO22</f>
        <v>4</v>
      </c>
      <c r="AB23" s="301">
        <f t="shared" si="3"/>
        <v>611055</v>
      </c>
      <c r="AC23" s="256"/>
      <c r="AI23"/>
      <c r="AR23"/>
    </row>
    <row r="24" spans="1:44">
      <c r="A24" s="257">
        <v>19</v>
      </c>
      <c r="B24" s="258" t="s">
        <v>195</v>
      </c>
      <c r="C24" s="259">
        <f>'Table 2 Distributions &amp; Adjust'!S25</f>
        <v>969562</v>
      </c>
      <c r="D24" s="260"/>
      <c r="E24" s="260"/>
      <c r="F24" s="260"/>
      <c r="G24" s="260"/>
      <c r="H24" s="260"/>
      <c r="I24" s="260"/>
      <c r="J24" s="260"/>
      <c r="K24" s="260"/>
      <c r="L24" s="260"/>
      <c r="M24" s="260">
        <f>-'Table 5C2 - LA Virtual Admy '!AJ23</f>
        <v>-1914</v>
      </c>
      <c r="N24" s="260">
        <f>-'Table 5C3 - LA Connections  '!AJ23</f>
        <v>-1261</v>
      </c>
      <c r="O24" s="260">
        <f>-'Table 5E_OJJ'!R25</f>
        <v>-86</v>
      </c>
      <c r="P24" s="301">
        <f t="shared" si="2"/>
        <v>966301</v>
      </c>
      <c r="Q24" s="260"/>
      <c r="R24" s="260"/>
      <c r="S24" s="260"/>
      <c r="T24" s="260"/>
      <c r="U24" s="260"/>
      <c r="V24" s="260"/>
      <c r="W24" s="260"/>
      <c r="X24" s="260"/>
      <c r="Y24" s="260"/>
      <c r="Z24" s="260">
        <f>'Table 5C2 - LA Virtual Admy '!AQ23</f>
        <v>-11</v>
      </c>
      <c r="AA24" s="260">
        <f>'Table 5C3 - LA Connections  '!AO23</f>
        <v>-13</v>
      </c>
      <c r="AB24" s="301">
        <f t="shared" si="3"/>
        <v>966277</v>
      </c>
      <c r="AC24" s="256"/>
      <c r="AI24"/>
      <c r="AR24"/>
    </row>
    <row r="25" spans="1:44">
      <c r="A25" s="266">
        <v>20</v>
      </c>
      <c r="B25" s="267" t="s">
        <v>196</v>
      </c>
      <c r="C25" s="268">
        <f>'Table 2 Distributions &amp; Adjust'!S26</f>
        <v>3013332</v>
      </c>
      <c r="D25" s="269"/>
      <c r="E25" s="269"/>
      <c r="F25" s="269"/>
      <c r="G25" s="269"/>
      <c r="H25" s="269"/>
      <c r="I25" s="269"/>
      <c r="J25" s="269"/>
      <c r="K25" s="269"/>
      <c r="L25" s="269"/>
      <c r="M25" s="269">
        <f>-'Table 5C2 - LA Virtual Admy '!AJ24</f>
        <v>-1074</v>
      </c>
      <c r="N25" s="269">
        <f>-'Table 5C3 - LA Connections  '!AJ24</f>
        <v>-166</v>
      </c>
      <c r="O25" s="269">
        <f>-'Table 5E_OJJ'!R26</f>
        <v>-1275</v>
      </c>
      <c r="P25" s="302">
        <f t="shared" si="2"/>
        <v>3010817</v>
      </c>
      <c r="Q25" s="269"/>
      <c r="R25" s="269"/>
      <c r="S25" s="269"/>
      <c r="T25" s="269"/>
      <c r="U25" s="269"/>
      <c r="V25" s="269"/>
      <c r="W25" s="269"/>
      <c r="X25" s="269"/>
      <c r="Y25" s="269"/>
      <c r="Z25" s="269">
        <f>'Table 5C2 - LA Virtual Admy '!AQ24</f>
        <v>-3</v>
      </c>
      <c r="AA25" s="269">
        <f>'Table 5C3 - LA Connections  '!AO24</f>
        <v>0</v>
      </c>
      <c r="AB25" s="302">
        <f t="shared" si="3"/>
        <v>3010814</v>
      </c>
      <c r="AC25" s="256"/>
      <c r="AI25"/>
      <c r="AR25"/>
    </row>
    <row r="26" spans="1:44">
      <c r="A26" s="257">
        <v>21</v>
      </c>
      <c r="B26" s="258" t="s">
        <v>197</v>
      </c>
      <c r="C26" s="259">
        <f>'Table 2 Distributions &amp; Adjust'!S27</f>
        <v>1562242</v>
      </c>
      <c r="D26" s="260"/>
      <c r="E26" s="260"/>
      <c r="F26" s="260"/>
      <c r="G26" s="260"/>
      <c r="H26" s="260"/>
      <c r="I26" s="260"/>
      <c r="J26" s="260"/>
      <c r="K26" s="260"/>
      <c r="L26" s="260"/>
      <c r="M26" s="260">
        <f>-'Table 5C2 - LA Virtual Admy '!AJ25</f>
        <v>3774</v>
      </c>
      <c r="N26" s="260">
        <f>-'Table 5C3 - LA Connections  '!AJ25</f>
        <v>-2362</v>
      </c>
      <c r="O26" s="260">
        <f>-'Table 5E_OJJ'!R27</f>
        <v>-1337</v>
      </c>
      <c r="P26" s="301">
        <f t="shared" si="2"/>
        <v>1562317</v>
      </c>
      <c r="Q26" s="260"/>
      <c r="R26" s="260"/>
      <c r="S26" s="260"/>
      <c r="T26" s="260"/>
      <c r="U26" s="260"/>
      <c r="V26" s="260"/>
      <c r="W26" s="260"/>
      <c r="X26" s="260"/>
      <c r="Y26" s="260"/>
      <c r="Z26" s="260">
        <f>'Table 5C2 - LA Virtual Admy '!AQ25</f>
        <v>57</v>
      </c>
      <c r="AA26" s="260">
        <f>'Table 5C3 - LA Connections  '!AO25</f>
        <v>-17</v>
      </c>
      <c r="AB26" s="301">
        <f t="shared" si="3"/>
        <v>1562357</v>
      </c>
      <c r="AC26" s="256"/>
      <c r="AI26"/>
      <c r="AR26"/>
    </row>
    <row r="27" spans="1:44">
      <c r="A27" s="257">
        <v>22</v>
      </c>
      <c r="B27" s="258" t="s">
        <v>198</v>
      </c>
      <c r="C27" s="259">
        <f>'Table 2 Distributions &amp; Adjust'!S28</f>
        <v>1772204</v>
      </c>
      <c r="D27" s="260"/>
      <c r="E27" s="260"/>
      <c r="F27" s="260"/>
      <c r="G27" s="260"/>
      <c r="H27" s="260"/>
      <c r="I27" s="260"/>
      <c r="J27" s="260"/>
      <c r="K27" s="260"/>
      <c r="L27" s="260"/>
      <c r="M27" s="260">
        <f>-'Table 5C2 - LA Virtual Admy '!AJ26</f>
        <v>-279</v>
      </c>
      <c r="N27" s="260">
        <f>-'Table 5C3 - LA Connections  '!AJ26</f>
        <v>-1872</v>
      </c>
      <c r="O27" s="260">
        <f>-'Table 5E_OJJ'!R28</f>
        <v>-35</v>
      </c>
      <c r="P27" s="301">
        <f t="shared" si="2"/>
        <v>1770018</v>
      </c>
      <c r="Q27" s="260"/>
      <c r="R27" s="260"/>
      <c r="S27" s="260"/>
      <c r="T27" s="260"/>
      <c r="U27" s="260"/>
      <c r="V27" s="260"/>
      <c r="W27" s="260"/>
      <c r="X27" s="260"/>
      <c r="Y27" s="260"/>
      <c r="Z27" s="260">
        <f>'Table 5C2 - LA Virtual Admy '!AQ26</f>
        <v>-2</v>
      </c>
      <c r="AA27" s="260">
        <f>'Table 5C3 - LA Connections  '!AO26</f>
        <v>-14</v>
      </c>
      <c r="AB27" s="301">
        <f t="shared" si="3"/>
        <v>1770002</v>
      </c>
      <c r="AC27" s="256"/>
      <c r="AI27"/>
      <c r="AR27"/>
    </row>
    <row r="28" spans="1:44">
      <c r="A28" s="257">
        <v>23</v>
      </c>
      <c r="B28" s="258" t="s">
        <v>199</v>
      </c>
      <c r="C28" s="259">
        <f>'Table 2 Distributions &amp; Adjust'!S29</f>
        <v>6246869</v>
      </c>
      <c r="D28" s="260"/>
      <c r="E28" s="260"/>
      <c r="F28" s="260"/>
      <c r="G28" s="260"/>
      <c r="H28" s="260"/>
      <c r="I28" s="260"/>
      <c r="J28" s="260"/>
      <c r="K28" s="260"/>
      <c r="L28" s="260"/>
      <c r="M28" s="260">
        <f>-'Table 5C2 - LA Virtual Admy '!AJ27</f>
        <v>-2852</v>
      </c>
      <c r="N28" s="260">
        <f>-'Table 5C3 - LA Connections  '!AJ27</f>
        <v>-2852</v>
      </c>
      <c r="O28" s="260">
        <f>-'Table 5E_OJJ'!R29</f>
        <v>-1803</v>
      </c>
      <c r="P28" s="301">
        <f t="shared" si="2"/>
        <v>6239362</v>
      </c>
      <c r="Q28" s="260"/>
      <c r="R28" s="260"/>
      <c r="S28" s="260"/>
      <c r="T28" s="260"/>
      <c r="U28" s="260"/>
      <c r="V28" s="260"/>
      <c r="W28" s="260"/>
      <c r="X28" s="260"/>
      <c r="Y28" s="260"/>
      <c r="Z28" s="260">
        <f>'Table 5C2 - LA Virtual Admy '!AQ27</f>
        <v>-17</v>
      </c>
      <c r="AA28" s="260">
        <f>'Table 5C3 - LA Connections  '!AO27</f>
        <v>-17</v>
      </c>
      <c r="AB28" s="301">
        <f t="shared" si="3"/>
        <v>6239328</v>
      </c>
      <c r="AC28" s="256"/>
      <c r="AI28"/>
      <c r="AR28"/>
    </row>
    <row r="29" spans="1:44">
      <c r="A29" s="257">
        <v>24</v>
      </c>
      <c r="B29" s="258" t="s">
        <v>200</v>
      </c>
      <c r="C29" s="259">
        <f>'Table 2 Distributions &amp; Adjust'!S30</f>
        <v>1300868</v>
      </c>
      <c r="D29" s="260"/>
      <c r="E29" s="260"/>
      <c r="F29" s="260"/>
      <c r="G29" s="260"/>
      <c r="H29" s="260"/>
      <c r="I29" s="260"/>
      <c r="J29" s="260"/>
      <c r="K29" s="260"/>
      <c r="L29" s="260"/>
      <c r="M29" s="260">
        <f>-'Table 5C2 - LA Virtual Admy '!AJ28</f>
        <v>-14169</v>
      </c>
      <c r="N29" s="260">
        <f>-'Table 5C3 - LA Connections  '!AJ28</f>
        <v>-3140</v>
      </c>
      <c r="O29" s="260">
        <f>-'Table 5E_OJJ'!R30</f>
        <v>-2326</v>
      </c>
      <c r="P29" s="301">
        <f t="shared" si="2"/>
        <v>1281233</v>
      </c>
      <c r="Q29" s="260"/>
      <c r="R29" s="260"/>
      <c r="S29" s="260"/>
      <c r="T29" s="260"/>
      <c r="U29" s="260"/>
      <c r="V29" s="260"/>
      <c r="W29" s="260"/>
      <c r="X29" s="260"/>
      <c r="Y29" s="260"/>
      <c r="Z29" s="260">
        <f>'Table 5C2 - LA Virtual Admy '!AQ28</f>
        <v>-129</v>
      </c>
      <c r="AA29" s="260">
        <f>'Table 5C3 - LA Connections  '!AO28</f>
        <v>-31</v>
      </c>
      <c r="AB29" s="301">
        <f t="shared" si="3"/>
        <v>1281073</v>
      </c>
      <c r="AC29" s="256"/>
      <c r="AI29"/>
      <c r="AR29"/>
    </row>
    <row r="30" spans="1:44">
      <c r="A30" s="266">
        <v>25</v>
      </c>
      <c r="B30" s="267" t="s">
        <v>201</v>
      </c>
      <c r="C30" s="268">
        <f>'Table 2 Distributions &amp; Adjust'!S31</f>
        <v>818379</v>
      </c>
      <c r="D30" s="269"/>
      <c r="E30" s="269"/>
      <c r="F30" s="269"/>
      <c r="G30" s="269"/>
      <c r="H30" s="269"/>
      <c r="I30" s="269"/>
      <c r="J30" s="269"/>
      <c r="K30" s="269"/>
      <c r="L30" s="269"/>
      <c r="M30" s="269">
        <f>-'Table 5C2 - LA Virtual Admy '!AJ29</f>
        <v>-4041</v>
      </c>
      <c r="N30" s="269">
        <f>-'Table 5C3 - LA Connections  '!AJ29</f>
        <v>2216</v>
      </c>
      <c r="O30" s="269">
        <f>-'Table 5E_OJJ'!R31</f>
        <v>0</v>
      </c>
      <c r="P30" s="302">
        <f t="shared" si="2"/>
        <v>816554</v>
      </c>
      <c r="Q30" s="269"/>
      <c r="R30" s="269"/>
      <c r="S30" s="269"/>
      <c r="T30" s="269"/>
      <c r="U30" s="269"/>
      <c r="V30" s="269"/>
      <c r="W30" s="269"/>
      <c r="X30" s="269"/>
      <c r="Y30" s="269"/>
      <c r="Z30" s="269">
        <f>'Table 5C2 - LA Virtual Admy '!AQ29</f>
        <v>-18</v>
      </c>
      <c r="AA30" s="269">
        <f>'Table 5C3 - LA Connections  '!AO29</f>
        <v>33</v>
      </c>
      <c r="AB30" s="302">
        <f t="shared" si="3"/>
        <v>816569</v>
      </c>
      <c r="AC30" s="256"/>
      <c r="AI30"/>
      <c r="AR30"/>
    </row>
    <row r="31" spans="1:44">
      <c r="A31" s="257">
        <v>26</v>
      </c>
      <c r="B31" s="258" t="s">
        <v>202</v>
      </c>
      <c r="C31" s="259">
        <f>'Table 2 Distributions &amp; Adjust'!S32</f>
        <v>14899208</v>
      </c>
      <c r="D31" s="260"/>
      <c r="E31" s="260"/>
      <c r="F31" s="260"/>
      <c r="G31" s="260"/>
      <c r="H31" s="260">
        <f>-'Table 5C1 - Type 2s'!AI42</f>
        <v>-22504.5975</v>
      </c>
      <c r="I31" s="260">
        <f>-'Table 5C1 - Type 2s'!AI61</f>
        <v>-52159.275000000001</v>
      </c>
      <c r="J31" s="260"/>
      <c r="K31" s="260">
        <f>-'Table 5C1 - Type 2s'!AK78</f>
        <v>-13112.137500000001</v>
      </c>
      <c r="L31" s="260"/>
      <c r="M31" s="260">
        <f>-'Table 5C2 - LA Virtual Admy '!AJ30</f>
        <v>-30232</v>
      </c>
      <c r="N31" s="260">
        <f>-'Table 5C3 - LA Connections  '!AJ30</f>
        <v>-18558</v>
      </c>
      <c r="O31" s="260">
        <f>-'Table 5E_OJJ'!R32</f>
        <v>-15025</v>
      </c>
      <c r="P31" s="301">
        <f t="shared" si="2"/>
        <v>14747616.99</v>
      </c>
      <c r="Q31" s="260"/>
      <c r="R31" s="260"/>
      <c r="S31" s="260"/>
      <c r="T31" s="260"/>
      <c r="U31" s="260"/>
      <c r="V31" s="260">
        <f>'Table 5C1 - Type 2s'!AN42</f>
        <v>-178.55</v>
      </c>
      <c r="W31" s="260">
        <f>'Table 5C1 - Type 2s'!AN61</f>
        <v>-522.9</v>
      </c>
      <c r="X31" s="260">
        <f>'Table 5C1 - Type 2s'!AP78</f>
        <v>-131.44999999999999</v>
      </c>
      <c r="Y31" s="260"/>
      <c r="Z31" s="260">
        <f>'Table 5C2 - LA Virtual Admy '!AQ30</f>
        <v>72</v>
      </c>
      <c r="AA31" s="260">
        <f>'Table 5C3 - LA Connections  '!AO30</f>
        <v>-42</v>
      </c>
      <c r="AB31" s="301">
        <f t="shared" si="3"/>
        <v>14746814.09</v>
      </c>
      <c r="AC31" s="256"/>
      <c r="AI31"/>
      <c r="AR31"/>
    </row>
    <row r="32" spans="1:44">
      <c r="A32" s="257">
        <v>27</v>
      </c>
      <c r="B32" s="258" t="s">
        <v>203</v>
      </c>
      <c r="C32" s="259">
        <f>'Table 2 Distributions &amp; Adjust'!S33</f>
        <v>2963157</v>
      </c>
      <c r="D32" s="260"/>
      <c r="E32" s="260"/>
      <c r="F32" s="260"/>
      <c r="G32" s="260"/>
      <c r="H32" s="260"/>
      <c r="I32" s="260"/>
      <c r="J32" s="260"/>
      <c r="K32" s="260"/>
      <c r="L32" s="260"/>
      <c r="M32" s="260">
        <f>-'Table 5C2 - LA Virtual Admy '!AJ31</f>
        <v>2157</v>
      </c>
      <c r="N32" s="260">
        <f>-'Table 5C3 - LA Connections  '!AJ31</f>
        <v>1548</v>
      </c>
      <c r="O32" s="260">
        <f>-'Table 5E_OJJ'!R33</f>
        <v>-77</v>
      </c>
      <c r="P32" s="301">
        <f t="shared" si="2"/>
        <v>2966785</v>
      </c>
      <c r="Q32" s="260"/>
      <c r="R32" s="260"/>
      <c r="S32" s="260"/>
      <c r="T32" s="260"/>
      <c r="U32" s="260"/>
      <c r="V32" s="260"/>
      <c r="W32" s="260"/>
      <c r="X32" s="260"/>
      <c r="Y32" s="260"/>
      <c r="Z32" s="260">
        <f>'Table 5C2 - LA Virtual Admy '!AQ31</f>
        <v>40</v>
      </c>
      <c r="AA32" s="260">
        <f>'Table 5C3 - LA Connections  '!AO31</f>
        <v>28</v>
      </c>
      <c r="AB32" s="301">
        <f t="shared" si="3"/>
        <v>2966853</v>
      </c>
      <c r="AC32" s="256"/>
      <c r="AI32"/>
      <c r="AR32"/>
    </row>
    <row r="33" spans="1:44">
      <c r="A33" s="257">
        <v>28</v>
      </c>
      <c r="B33" s="258" t="s">
        <v>204</v>
      </c>
      <c r="C33" s="259">
        <f>'Table 2 Distributions &amp; Adjust'!S34</f>
        <v>10174379</v>
      </c>
      <c r="D33" s="260"/>
      <c r="E33" s="260"/>
      <c r="F33" s="260"/>
      <c r="G33" s="260"/>
      <c r="H33" s="260"/>
      <c r="I33" s="260"/>
      <c r="J33" s="260"/>
      <c r="K33" s="260"/>
      <c r="L33" s="260"/>
      <c r="M33" s="260">
        <f>-'Table 5C2 - LA Virtual Admy '!AJ32</f>
        <v>-31797</v>
      </c>
      <c r="N33" s="260">
        <f>-'Table 5C3 - LA Connections  '!AJ32</f>
        <v>-6376</v>
      </c>
      <c r="O33" s="260">
        <f>-'Table 5E_OJJ'!R34</f>
        <v>-2375</v>
      </c>
      <c r="P33" s="301">
        <f t="shared" si="2"/>
        <v>10133831</v>
      </c>
      <c r="Q33" s="260"/>
      <c r="R33" s="260"/>
      <c r="S33" s="260"/>
      <c r="T33" s="260"/>
      <c r="U33" s="260"/>
      <c r="V33" s="260"/>
      <c r="W33" s="260"/>
      <c r="X33" s="260"/>
      <c r="Y33" s="260"/>
      <c r="Z33" s="260">
        <f>'Table 5C2 - LA Virtual Admy '!AQ32</f>
        <v>-169</v>
      </c>
      <c r="AA33" s="260">
        <f>'Table 5C3 - LA Connections  '!AO32</f>
        <v>34</v>
      </c>
      <c r="AB33" s="301">
        <f t="shared" si="3"/>
        <v>10133696</v>
      </c>
      <c r="AC33" s="256"/>
      <c r="AI33"/>
      <c r="AR33"/>
    </row>
    <row r="34" spans="1:44">
      <c r="A34" s="257">
        <v>29</v>
      </c>
      <c r="B34" s="258" t="s">
        <v>205</v>
      </c>
      <c r="C34" s="259">
        <f>'Table 2 Distributions &amp; Adjust'!S35</f>
        <v>5692954</v>
      </c>
      <c r="D34" s="260"/>
      <c r="E34" s="260"/>
      <c r="F34" s="260"/>
      <c r="G34" s="260"/>
      <c r="H34" s="260"/>
      <c r="I34" s="260"/>
      <c r="J34" s="260"/>
      <c r="K34" s="260"/>
      <c r="L34" s="260"/>
      <c r="M34" s="260">
        <f>-'Table 5C2 - LA Virtual Admy '!AJ33</f>
        <v>-8798</v>
      </c>
      <c r="N34" s="260">
        <f>-'Table 5C3 - LA Connections  '!AJ33</f>
        <v>-2603</v>
      </c>
      <c r="O34" s="260">
        <f>-'Table 5E_OJJ'!R35</f>
        <v>-4750</v>
      </c>
      <c r="P34" s="301">
        <f t="shared" si="2"/>
        <v>5676803</v>
      </c>
      <c r="Q34" s="260"/>
      <c r="R34" s="260"/>
      <c r="S34" s="260"/>
      <c r="T34" s="260"/>
      <c r="U34" s="260"/>
      <c r="V34" s="260"/>
      <c r="W34" s="260"/>
      <c r="X34" s="260"/>
      <c r="Y34" s="260"/>
      <c r="Z34" s="260">
        <f>'Table 5C2 - LA Virtual Admy '!AQ33</f>
        <v>-39</v>
      </c>
      <c r="AA34" s="260">
        <f>'Table 5C3 - LA Connections  '!AO33</f>
        <v>-10</v>
      </c>
      <c r="AB34" s="301">
        <f t="shared" si="3"/>
        <v>5676754</v>
      </c>
      <c r="AC34" s="256"/>
      <c r="AI34"/>
      <c r="AR34"/>
    </row>
    <row r="35" spans="1:44">
      <c r="A35" s="266">
        <v>30</v>
      </c>
      <c r="B35" s="267" t="s">
        <v>206</v>
      </c>
      <c r="C35" s="268">
        <f>'Table 2 Distributions &amp; Adjust'!S36</f>
        <v>1338101</v>
      </c>
      <c r="D35" s="269"/>
      <c r="E35" s="269"/>
      <c r="F35" s="269"/>
      <c r="G35" s="269"/>
      <c r="H35" s="269"/>
      <c r="I35" s="269"/>
      <c r="J35" s="269"/>
      <c r="K35" s="269"/>
      <c r="L35" s="269"/>
      <c r="M35" s="269">
        <f>-'Table 5C2 - LA Virtual Admy '!AJ34</f>
        <v>380</v>
      </c>
      <c r="N35" s="269">
        <f>-'Table 5C3 - LA Connections  '!AJ34</f>
        <v>79</v>
      </c>
      <c r="O35" s="269">
        <f>-'Table 5E_OJJ'!R36</f>
        <v>0</v>
      </c>
      <c r="P35" s="302">
        <f t="shared" si="2"/>
        <v>1338560</v>
      </c>
      <c r="Q35" s="269"/>
      <c r="R35" s="269"/>
      <c r="S35" s="269"/>
      <c r="T35" s="269"/>
      <c r="U35" s="269"/>
      <c r="V35" s="269"/>
      <c r="W35" s="269"/>
      <c r="X35" s="269"/>
      <c r="Y35" s="269"/>
      <c r="Z35" s="269">
        <f>'Table 5C2 - LA Virtual Admy '!AQ34</f>
        <v>14</v>
      </c>
      <c r="AA35" s="269">
        <f>'Table 5C3 - LA Connections  '!AO34</f>
        <v>13</v>
      </c>
      <c r="AB35" s="302">
        <f t="shared" si="3"/>
        <v>1338587</v>
      </c>
      <c r="AC35" s="256"/>
      <c r="AI35"/>
      <c r="AR35"/>
    </row>
    <row r="36" spans="1:44">
      <c r="A36" s="257">
        <v>31</v>
      </c>
      <c r="B36" s="258" t="s">
        <v>207</v>
      </c>
      <c r="C36" s="259">
        <f>'Table 2 Distributions &amp; Adjust'!S37</f>
        <v>2595779</v>
      </c>
      <c r="D36" s="260"/>
      <c r="E36" s="260"/>
      <c r="F36" s="260"/>
      <c r="G36" s="260">
        <f>-'Table 5C1 - Type 2s'!AI26</f>
        <v>2038.5159374999998</v>
      </c>
      <c r="H36" s="260"/>
      <c r="I36" s="260"/>
      <c r="J36" s="260"/>
      <c r="K36" s="260"/>
      <c r="L36" s="260"/>
      <c r="M36" s="260">
        <f>-'Table 5C2 - LA Virtual Admy '!AJ35</f>
        <v>-1996</v>
      </c>
      <c r="N36" s="260">
        <f>-'Table 5C3 - LA Connections  '!AJ35</f>
        <v>786</v>
      </c>
      <c r="O36" s="260">
        <f>-'Table 5E_OJJ'!R37</f>
        <v>-869</v>
      </c>
      <c r="P36" s="301">
        <f t="shared" si="2"/>
        <v>2595738.5159375002</v>
      </c>
      <c r="Q36" s="260"/>
      <c r="R36" s="260"/>
      <c r="S36" s="260"/>
      <c r="T36" s="260"/>
      <c r="U36" s="260">
        <f>'Table 5C1 - Type 2s'!AN26</f>
        <v>39.46125</v>
      </c>
      <c r="V36" s="260"/>
      <c r="W36" s="260"/>
      <c r="X36" s="260"/>
      <c r="Y36" s="260"/>
      <c r="Z36" s="260">
        <f>'Table 5C2 - LA Virtual Admy '!AQ35</f>
        <v>-6</v>
      </c>
      <c r="AA36" s="260">
        <f>'Table 5C3 - LA Connections  '!AO35</f>
        <v>25</v>
      </c>
      <c r="AB36" s="301">
        <f t="shared" si="3"/>
        <v>2595796.9771875003</v>
      </c>
      <c r="AC36" s="256"/>
      <c r="AI36"/>
      <c r="AR36"/>
    </row>
    <row r="37" spans="1:44">
      <c r="A37" s="257">
        <v>32</v>
      </c>
      <c r="B37" s="258" t="s">
        <v>208</v>
      </c>
      <c r="C37" s="259">
        <f>'Table 2 Distributions &amp; Adjust'!S38</f>
        <v>12454910</v>
      </c>
      <c r="D37" s="260"/>
      <c r="E37" s="260"/>
      <c r="F37" s="260">
        <f>-'Table 5C1 - Type 2s'!AI7</f>
        <v>-233.7890625</v>
      </c>
      <c r="G37" s="260"/>
      <c r="H37" s="260"/>
      <c r="I37" s="260"/>
      <c r="J37" s="260"/>
      <c r="K37" s="260"/>
      <c r="L37" s="260"/>
      <c r="M37" s="260">
        <f>-'Table 5C2 - LA Virtual Admy '!AJ36</f>
        <v>-6082</v>
      </c>
      <c r="N37" s="260">
        <f>-'Table 5C3 - LA Connections  '!AJ36</f>
        <v>-4315</v>
      </c>
      <c r="O37" s="260">
        <f>-'Table 5E_OJJ'!R38</f>
        <v>-236</v>
      </c>
      <c r="P37" s="301">
        <f t="shared" si="2"/>
        <v>12444043.2109375</v>
      </c>
      <c r="Q37" s="260"/>
      <c r="R37" s="260"/>
      <c r="S37" s="260"/>
      <c r="T37" s="260">
        <f>'Table 5C1 - Type 2s'!AN7</f>
        <v>-2.34375</v>
      </c>
      <c r="U37" s="260"/>
      <c r="V37" s="260"/>
      <c r="W37" s="260"/>
      <c r="X37" s="260"/>
      <c r="Y37" s="260"/>
      <c r="Z37" s="260">
        <f>'Table 5C2 - LA Virtual Admy '!AQ36</f>
        <v>-19</v>
      </c>
      <c r="AA37" s="260">
        <f>'Table 5C3 - LA Connections  '!AO36</f>
        <v>4</v>
      </c>
      <c r="AB37" s="301">
        <f t="shared" si="3"/>
        <v>12444025.8671875</v>
      </c>
      <c r="AC37" s="256"/>
      <c r="AI37"/>
      <c r="AR37"/>
    </row>
    <row r="38" spans="1:44">
      <c r="A38" s="257">
        <v>33</v>
      </c>
      <c r="B38" s="258" t="s">
        <v>209</v>
      </c>
      <c r="C38" s="259">
        <f>'Table 2 Distributions &amp; Adjust'!S39</f>
        <v>994370</v>
      </c>
      <c r="D38" s="260"/>
      <c r="E38" s="260"/>
      <c r="F38" s="260"/>
      <c r="G38" s="260"/>
      <c r="H38" s="260"/>
      <c r="I38" s="260"/>
      <c r="J38" s="260"/>
      <c r="K38" s="260"/>
      <c r="L38" s="260"/>
      <c r="M38" s="260">
        <f>-'Table 5C2 - LA Virtual Admy '!AJ37</f>
        <v>-1295</v>
      </c>
      <c r="N38" s="260">
        <f>-'Table 5C3 - LA Connections  '!AJ37</f>
        <v>-245</v>
      </c>
      <c r="O38" s="260">
        <f>-'Table 5E_OJJ'!R39</f>
        <v>-988</v>
      </c>
      <c r="P38" s="301">
        <f t="shared" si="2"/>
        <v>991842</v>
      </c>
      <c r="Q38" s="260"/>
      <c r="R38" s="260"/>
      <c r="S38" s="260"/>
      <c r="T38" s="260"/>
      <c r="U38" s="260"/>
      <c r="V38" s="260"/>
      <c r="W38" s="260"/>
      <c r="X38" s="260"/>
      <c r="Y38" s="260"/>
      <c r="Z38" s="260">
        <f>'Table 5C2 - LA Virtual Admy '!AQ37</f>
        <v>1</v>
      </c>
      <c r="AA38" s="260">
        <f>'Table 5C3 - LA Connections  '!AO37</f>
        <v>3</v>
      </c>
      <c r="AB38" s="301">
        <f t="shared" si="3"/>
        <v>991846</v>
      </c>
      <c r="AC38" s="256"/>
      <c r="AI38"/>
      <c r="AR38"/>
    </row>
    <row r="39" spans="1:44">
      <c r="A39" s="257">
        <v>34</v>
      </c>
      <c r="B39" s="258" t="s">
        <v>210</v>
      </c>
      <c r="C39" s="259">
        <f>'Table 2 Distributions &amp; Adjust'!S40</f>
        <v>2255672</v>
      </c>
      <c r="D39" s="260"/>
      <c r="E39" s="260"/>
      <c r="F39" s="260"/>
      <c r="G39" s="260"/>
      <c r="H39" s="260"/>
      <c r="I39" s="260"/>
      <c r="J39" s="260"/>
      <c r="K39" s="260"/>
      <c r="L39" s="260"/>
      <c r="M39" s="260">
        <f>-'Table 5C2 - LA Virtual Admy '!AJ38</f>
        <v>-4461</v>
      </c>
      <c r="N39" s="260">
        <f>-'Table 5C3 - LA Connections  '!AJ38</f>
        <v>-71</v>
      </c>
      <c r="O39" s="260">
        <f>-'Table 5E_OJJ'!R40</f>
        <v>0</v>
      </c>
      <c r="P39" s="301">
        <f t="shared" si="2"/>
        <v>2251140</v>
      </c>
      <c r="Q39" s="260"/>
      <c r="R39" s="260"/>
      <c r="S39" s="260"/>
      <c r="T39" s="260"/>
      <c r="U39" s="260"/>
      <c r="V39" s="260"/>
      <c r="W39" s="260"/>
      <c r="X39" s="260"/>
      <c r="Y39" s="260"/>
      <c r="Z39" s="260">
        <f>'Table 5C2 - LA Virtual Admy '!AQ38</f>
        <v>-27</v>
      </c>
      <c r="AA39" s="260">
        <f>'Table 5C3 - LA Connections  '!AO38</f>
        <v>5</v>
      </c>
      <c r="AB39" s="301">
        <f t="shared" si="3"/>
        <v>2251118</v>
      </c>
      <c r="AC39" s="256"/>
      <c r="AI39"/>
      <c r="AR39"/>
    </row>
    <row r="40" spans="1:44">
      <c r="A40" s="266">
        <v>35</v>
      </c>
      <c r="B40" s="267" t="s">
        <v>211</v>
      </c>
      <c r="C40" s="268">
        <f>'Table 2 Distributions &amp; Adjust'!S41</f>
        <v>2951262</v>
      </c>
      <c r="D40" s="269"/>
      <c r="E40" s="269"/>
      <c r="F40" s="269"/>
      <c r="G40" s="269"/>
      <c r="H40" s="269"/>
      <c r="I40" s="269"/>
      <c r="J40" s="269"/>
      <c r="K40" s="269"/>
      <c r="L40" s="269"/>
      <c r="M40" s="269">
        <f>-'Table 5C2 - LA Virtual Admy '!AJ39</f>
        <v>-2736</v>
      </c>
      <c r="N40" s="269">
        <f>-'Table 5C3 - LA Connections  '!AJ39</f>
        <v>-3001</v>
      </c>
      <c r="O40" s="269">
        <f>-'Table 5E_OJJ'!R41</f>
        <v>-636</v>
      </c>
      <c r="P40" s="302">
        <f t="shared" si="2"/>
        <v>2944889</v>
      </c>
      <c r="Q40" s="269"/>
      <c r="R40" s="269"/>
      <c r="S40" s="269"/>
      <c r="T40" s="269"/>
      <c r="U40" s="269"/>
      <c r="V40" s="269"/>
      <c r="W40" s="269"/>
      <c r="X40" s="269"/>
      <c r="Y40" s="269"/>
      <c r="Z40" s="269">
        <f>'Table 5C2 - LA Virtual Admy '!AQ39</f>
        <v>-7</v>
      </c>
      <c r="AA40" s="269">
        <f>'Table 5C3 - LA Connections  '!AO39</f>
        <v>-8</v>
      </c>
      <c r="AB40" s="302">
        <f t="shared" si="3"/>
        <v>2944874</v>
      </c>
      <c r="AC40" s="256"/>
      <c r="AI40"/>
      <c r="AR40"/>
    </row>
    <row r="41" spans="1:44">
      <c r="A41" s="257">
        <v>36</v>
      </c>
      <c r="B41" s="258" t="s">
        <v>74</v>
      </c>
      <c r="C41" s="259">
        <f>'Table 2 Distributions &amp; Adjust'!S42</f>
        <v>3809311</v>
      </c>
      <c r="D41" s="260"/>
      <c r="E41" s="260">
        <f>-'[3]March 2012 Allocation'!$AW$60</f>
        <v>-10217161.997587141</v>
      </c>
      <c r="F41" s="260"/>
      <c r="G41" s="260"/>
      <c r="H41" s="260">
        <f>-'Table 5C1 - Type 2s'!AI41</f>
        <v>-98736.092083333293</v>
      </c>
      <c r="I41" s="260">
        <f>-'Table 5C1 - Type 2s'!AI60</f>
        <v>13392.745000000003</v>
      </c>
      <c r="J41" s="260"/>
      <c r="K41" s="260">
        <f>-'Table 5C1 - Type 2s'!AK77</f>
        <v>-12837.347500000003</v>
      </c>
      <c r="L41" s="260"/>
      <c r="M41" s="260">
        <f>-'Table 5C2 - LA Virtual Admy '!AJ40</f>
        <v>-36752</v>
      </c>
      <c r="N41" s="260">
        <f>-'Table 5C3 - LA Connections  '!AJ40</f>
        <v>1480</v>
      </c>
      <c r="O41" s="260">
        <f>-'Table 5E_OJJ'!R42</f>
        <v>-13041</v>
      </c>
      <c r="P41" s="301">
        <f t="shared" si="2"/>
        <v>-6554344.6921704737</v>
      </c>
      <c r="Q41" s="260"/>
      <c r="R41" s="260"/>
      <c r="S41" s="260">
        <f>'[3]March 2012 Allocation'!$AP$68</f>
        <v>-24014.65625</v>
      </c>
      <c r="T41" s="260"/>
      <c r="U41" s="260"/>
      <c r="V41" s="260">
        <f>'Table 5C1 - Type 2s'!AN41</f>
        <v>-1083.7249999999999</v>
      </c>
      <c r="W41" s="260">
        <f>'Table 5C1 - Type 2s'!AN60</f>
        <v>177.01999999999998</v>
      </c>
      <c r="X41" s="260">
        <f>'Table 5C1 - Type 2s'!AP77</f>
        <v>73.389999999999986</v>
      </c>
      <c r="Y41" s="260"/>
      <c r="Z41" s="260">
        <f>'Table 5C2 - LA Virtual Admy '!AQ40</f>
        <v>-114</v>
      </c>
      <c r="AA41" s="260">
        <f>'Table 5C3 - LA Connections  '!AO40</f>
        <v>98</v>
      </c>
      <c r="AB41" s="301">
        <f t="shared" si="3"/>
        <v>-6579208.6634204742</v>
      </c>
      <c r="AC41" s="303"/>
      <c r="AE41" s="303"/>
      <c r="AF41" s="303"/>
      <c r="AG41" s="303"/>
      <c r="AI41"/>
      <c r="AR41"/>
    </row>
    <row r="42" spans="1:44">
      <c r="A42" s="257">
        <v>37</v>
      </c>
      <c r="B42" s="258" t="s">
        <v>213</v>
      </c>
      <c r="C42" s="259">
        <f>'Table 2 Distributions &amp; Adjust'!S43</f>
        <v>9987898</v>
      </c>
      <c r="D42" s="260"/>
      <c r="E42" s="260"/>
      <c r="F42" s="260"/>
      <c r="G42" s="260">
        <f>-'Table 5C1 - Type 2s'!AI25</f>
        <v>2032.40625</v>
      </c>
      <c r="H42" s="260"/>
      <c r="I42" s="260"/>
      <c r="J42" s="260"/>
      <c r="K42" s="260"/>
      <c r="L42" s="260"/>
      <c r="M42" s="260">
        <f>-'Table 5C2 - LA Virtual Admy '!AJ41</f>
        <v>-1423</v>
      </c>
      <c r="N42" s="260">
        <f>-'Table 5C3 - LA Connections  '!AJ41</f>
        <v>-5421</v>
      </c>
      <c r="O42" s="260">
        <f>-'Table 5E_OJJ'!R43</f>
        <v>-625</v>
      </c>
      <c r="P42" s="301">
        <f t="shared" si="2"/>
        <v>9982461.40625</v>
      </c>
      <c r="Q42" s="260"/>
      <c r="R42" s="260"/>
      <c r="S42" s="260"/>
      <c r="T42" s="260"/>
      <c r="U42" s="260">
        <f>'Table 5C1 - Type 2s'!AN25</f>
        <v>37.85</v>
      </c>
      <c r="V42" s="260"/>
      <c r="W42" s="260"/>
      <c r="X42" s="260"/>
      <c r="Y42" s="260"/>
      <c r="Z42" s="260">
        <f>'Table 5C2 - LA Virtual Admy '!AQ41</f>
        <v>39</v>
      </c>
      <c r="AA42" s="260">
        <f>'Table 5C3 - LA Connections  '!AO41</f>
        <v>-33</v>
      </c>
      <c r="AB42" s="301">
        <f t="shared" si="3"/>
        <v>9982505.2562499996</v>
      </c>
      <c r="AC42" s="303"/>
      <c r="AE42" s="303"/>
      <c r="AF42" s="303"/>
      <c r="AG42" s="303"/>
      <c r="AI42"/>
      <c r="AR42"/>
    </row>
    <row r="43" spans="1:44">
      <c r="A43" s="257">
        <v>38</v>
      </c>
      <c r="B43" s="258" t="s">
        <v>214</v>
      </c>
      <c r="C43" s="259">
        <f>'Table 2 Distributions &amp; Adjust'!S44</f>
        <v>1017898</v>
      </c>
      <c r="D43" s="260"/>
      <c r="E43" s="260"/>
      <c r="F43" s="260"/>
      <c r="G43" s="260"/>
      <c r="H43" s="260"/>
      <c r="I43" s="260">
        <f>-'Table 5C1 - Type 2s'!AI62</f>
        <v>-1424.43</v>
      </c>
      <c r="J43" s="260"/>
      <c r="K43" s="260"/>
      <c r="L43" s="260"/>
      <c r="M43" s="260">
        <f>-'Table 5C2 - LA Virtual Admy '!AJ42</f>
        <v>-3198</v>
      </c>
      <c r="N43" s="260">
        <f>-'Table 5C3 - LA Connections  '!AJ42</f>
        <v>3336</v>
      </c>
      <c r="O43" s="260">
        <f>-'Table 5E_OJJ'!R44</f>
        <v>0</v>
      </c>
      <c r="P43" s="301">
        <f t="shared" si="2"/>
        <v>1016611.57</v>
      </c>
      <c r="Q43" s="260"/>
      <c r="R43" s="260"/>
      <c r="S43" s="260"/>
      <c r="T43" s="260"/>
      <c r="U43" s="260"/>
      <c r="V43" s="260"/>
      <c r="W43" s="260">
        <f>'Table 5C1 - Type 2s'!AN62</f>
        <v>-14.280000000000001</v>
      </c>
      <c r="X43" s="260"/>
      <c r="Y43" s="260"/>
      <c r="Z43" s="260">
        <f>'Table 5C2 - LA Virtual Admy '!AQ42</f>
        <v>9</v>
      </c>
      <c r="AA43" s="260">
        <f>'Table 5C3 - LA Connections  '!AO42</f>
        <v>50</v>
      </c>
      <c r="AB43" s="301">
        <f t="shared" si="3"/>
        <v>1016656.2899999999</v>
      </c>
      <c r="AC43" s="303"/>
      <c r="AE43" s="303"/>
      <c r="AF43" s="303"/>
      <c r="AG43" s="303"/>
      <c r="AI43"/>
      <c r="AR43"/>
    </row>
    <row r="44" spans="1:44">
      <c r="A44" s="257">
        <v>39</v>
      </c>
      <c r="B44" s="258" t="s">
        <v>76</v>
      </c>
      <c r="C44" s="259">
        <f>'Table 2 Distributions &amp; Adjust'!S45</f>
        <v>1001846</v>
      </c>
      <c r="D44" s="260">
        <f>-'Table 5B2_RSD_LA'!AN23</f>
        <v>-74847.31</v>
      </c>
      <c r="E44" s="260"/>
      <c r="F44" s="260"/>
      <c r="G44" s="260"/>
      <c r="H44" s="260"/>
      <c r="I44" s="260"/>
      <c r="J44" s="260"/>
      <c r="K44" s="260"/>
      <c r="L44" s="260"/>
      <c r="M44" s="260">
        <f>-'Table 5C2 - LA Virtual Admy '!AJ43</f>
        <v>-5131</v>
      </c>
      <c r="N44" s="260">
        <f>-'Table 5C3 - LA Connections  '!AJ43</f>
        <v>5</v>
      </c>
      <c r="O44" s="260">
        <f>-'Table 5E_OJJ'!R45</f>
        <v>-328</v>
      </c>
      <c r="P44" s="301">
        <f t="shared" si="2"/>
        <v>921544.69</v>
      </c>
      <c r="Q44" s="260">
        <f>'Table 5B2_RSD_LA'!AH51</f>
        <v>-1645</v>
      </c>
      <c r="R44" s="260">
        <f>'Table 5B2_RSD_LA'!AI51</f>
        <v>-235</v>
      </c>
      <c r="S44" s="260"/>
      <c r="T44" s="260"/>
      <c r="U44" s="260"/>
      <c r="V44" s="260"/>
      <c r="W44" s="260"/>
      <c r="X44" s="260"/>
      <c r="Y44" s="260"/>
      <c r="Z44" s="260">
        <f>'Table 5C2 - LA Virtual Admy '!AQ43</f>
        <v>-39</v>
      </c>
      <c r="AA44" s="260">
        <f>'Table 5C3 - LA Connections  '!AO43</f>
        <v>25</v>
      </c>
      <c r="AB44" s="301">
        <f t="shared" si="3"/>
        <v>919650.69</v>
      </c>
      <c r="AC44" s="304"/>
      <c r="AE44" s="278"/>
      <c r="AF44" s="278"/>
      <c r="AG44" s="278"/>
      <c r="AI44"/>
      <c r="AR44"/>
    </row>
    <row r="45" spans="1:44">
      <c r="A45" s="266">
        <v>40</v>
      </c>
      <c r="B45" s="267" t="s">
        <v>215</v>
      </c>
      <c r="C45" s="268">
        <f>'Table 2 Distributions &amp; Adjust'!S46</f>
        <v>10743528</v>
      </c>
      <c r="D45" s="269"/>
      <c r="E45" s="269"/>
      <c r="F45" s="269"/>
      <c r="G45" s="269"/>
      <c r="H45" s="269"/>
      <c r="I45" s="269"/>
      <c r="J45" s="269"/>
      <c r="K45" s="269"/>
      <c r="L45" s="269"/>
      <c r="M45" s="269">
        <f>-'Table 5C2 - LA Virtual Admy '!AJ44</f>
        <v>-9806</v>
      </c>
      <c r="N45" s="269">
        <f>-'Table 5C3 - LA Connections  '!AJ44</f>
        <v>-5264</v>
      </c>
      <c r="O45" s="269">
        <f>-'Table 5E_OJJ'!R46</f>
        <v>-1169</v>
      </c>
      <c r="P45" s="302">
        <f t="shared" si="2"/>
        <v>10727289</v>
      </c>
      <c r="Q45" s="269"/>
      <c r="R45" s="269"/>
      <c r="S45" s="269"/>
      <c r="T45" s="269"/>
      <c r="U45" s="269"/>
      <c r="V45" s="269"/>
      <c r="W45" s="269"/>
      <c r="X45" s="269"/>
      <c r="Y45" s="269"/>
      <c r="Z45" s="269">
        <f>'Table 5C2 - LA Virtual Admy '!AQ44</f>
        <v>-35</v>
      </c>
      <c r="AA45" s="269">
        <f>'Table 5C3 - LA Connections  '!AO44</f>
        <v>0</v>
      </c>
      <c r="AB45" s="302">
        <f t="shared" si="3"/>
        <v>10727254</v>
      </c>
      <c r="AC45" s="256"/>
      <c r="AI45"/>
      <c r="AR45"/>
    </row>
    <row r="46" spans="1:44">
      <c r="A46" s="257">
        <v>41</v>
      </c>
      <c r="B46" s="258" t="s">
        <v>216</v>
      </c>
      <c r="C46" s="259">
        <f>'Table 2 Distributions &amp; Adjust'!S47</f>
        <v>345452</v>
      </c>
      <c r="D46" s="260"/>
      <c r="E46" s="260"/>
      <c r="F46" s="260"/>
      <c r="G46" s="260"/>
      <c r="H46" s="260"/>
      <c r="I46" s="260"/>
      <c r="J46" s="260"/>
      <c r="K46" s="260"/>
      <c r="L46" s="260"/>
      <c r="M46" s="260">
        <f>-'Table 5C2 - LA Virtual Admy '!AJ45</f>
        <v>6616</v>
      </c>
      <c r="N46" s="260">
        <f>-'Table 5C3 - LA Connections  '!AJ45</f>
        <v>-1162</v>
      </c>
      <c r="O46" s="260">
        <f>-'Table 5E_OJJ'!R47</f>
        <v>-559</v>
      </c>
      <c r="P46" s="301">
        <f t="shared" si="2"/>
        <v>350347</v>
      </c>
      <c r="Q46" s="260"/>
      <c r="R46" s="260"/>
      <c r="S46" s="260"/>
      <c r="T46" s="260"/>
      <c r="U46" s="260"/>
      <c r="V46" s="260"/>
      <c r="W46" s="260"/>
      <c r="X46" s="260"/>
      <c r="Y46" s="260"/>
      <c r="Z46" s="260">
        <f>'Table 5C2 - LA Virtual Admy '!AQ45</f>
        <v>148</v>
      </c>
      <c r="AA46" s="260">
        <f>'Table 5C3 - LA Connections  '!AO45</f>
        <v>2</v>
      </c>
      <c r="AB46" s="301">
        <f t="shared" si="3"/>
        <v>350497</v>
      </c>
      <c r="AC46" s="256"/>
      <c r="AI46"/>
      <c r="AR46"/>
    </row>
    <row r="47" spans="1:44">
      <c r="A47" s="257">
        <v>42</v>
      </c>
      <c r="B47" s="258" t="s">
        <v>217</v>
      </c>
      <c r="C47" s="259">
        <f>'Table 2 Distributions &amp; Adjust'!S48</f>
        <v>1828395</v>
      </c>
      <c r="D47" s="260"/>
      <c r="E47" s="260"/>
      <c r="F47" s="260"/>
      <c r="G47" s="260"/>
      <c r="H47" s="260"/>
      <c r="I47" s="260"/>
      <c r="J47" s="260"/>
      <c r="K47" s="260"/>
      <c r="L47" s="260"/>
      <c r="M47" s="260">
        <f>-'Table 5C2 - LA Virtual Admy '!AJ46</f>
        <v>-1841</v>
      </c>
      <c r="N47" s="260">
        <f>-'Table 5C3 - LA Connections  '!AJ46</f>
        <v>0</v>
      </c>
      <c r="O47" s="260">
        <f>-'Table 5E_OJJ'!R48</f>
        <v>-1694</v>
      </c>
      <c r="P47" s="301">
        <f t="shared" si="2"/>
        <v>1824860</v>
      </c>
      <c r="Q47" s="260"/>
      <c r="R47" s="260"/>
      <c r="S47" s="260"/>
      <c r="T47" s="260"/>
      <c r="U47" s="260"/>
      <c r="V47" s="260"/>
      <c r="W47" s="260"/>
      <c r="X47" s="260"/>
      <c r="Y47" s="260"/>
      <c r="Z47" s="260">
        <f>'Table 5C2 - LA Virtual Admy '!AQ46</f>
        <v>12</v>
      </c>
      <c r="AA47" s="260">
        <f>'Table 5C3 - LA Connections  '!AO46</f>
        <v>0</v>
      </c>
      <c r="AB47" s="301">
        <f t="shared" si="3"/>
        <v>1824872</v>
      </c>
      <c r="AC47" s="256"/>
      <c r="AI47"/>
      <c r="AR47"/>
    </row>
    <row r="48" spans="1:44">
      <c r="A48" s="257">
        <v>43</v>
      </c>
      <c r="B48" s="258" t="s">
        <v>218</v>
      </c>
      <c r="C48" s="259">
        <f>'Table 2 Distributions &amp; Adjust'!S49</f>
        <v>2130969</v>
      </c>
      <c r="D48" s="260"/>
      <c r="E48" s="260"/>
      <c r="F48" s="260"/>
      <c r="G48" s="260"/>
      <c r="H48" s="260"/>
      <c r="I48" s="260"/>
      <c r="J48" s="260"/>
      <c r="K48" s="260"/>
      <c r="L48" s="260"/>
      <c r="M48" s="260">
        <f>-'Table 5C2 - LA Virtual Admy '!AJ47</f>
        <v>-11880</v>
      </c>
      <c r="N48" s="260">
        <f>-'Table 5C3 - LA Connections  '!AJ47</f>
        <v>-5157</v>
      </c>
      <c r="O48" s="260">
        <f>-'Table 5E_OJJ'!R49</f>
        <v>-783</v>
      </c>
      <c r="P48" s="301">
        <f t="shared" si="2"/>
        <v>2113149</v>
      </c>
      <c r="Q48" s="260"/>
      <c r="R48" s="260"/>
      <c r="S48" s="260"/>
      <c r="T48" s="260"/>
      <c r="U48" s="260"/>
      <c r="V48" s="260"/>
      <c r="W48" s="260"/>
      <c r="X48" s="260"/>
      <c r="Y48" s="260"/>
      <c r="Z48" s="260">
        <f>'Table 5C2 - LA Virtual Admy '!AQ47</f>
        <v>-101</v>
      </c>
      <c r="AA48" s="260">
        <f>'Table 5C3 - LA Connections  '!AO47</f>
        <v>-39</v>
      </c>
      <c r="AB48" s="301">
        <f t="shared" si="3"/>
        <v>2113009</v>
      </c>
      <c r="AC48" s="256"/>
      <c r="AI48"/>
      <c r="AR48"/>
    </row>
    <row r="49" spans="1:44">
      <c r="A49" s="257">
        <v>44</v>
      </c>
      <c r="B49" s="258" t="s">
        <v>219</v>
      </c>
      <c r="C49" s="259">
        <f>'Table 2 Distributions &amp; Adjust'!S50</f>
        <v>2752024</v>
      </c>
      <c r="D49" s="260"/>
      <c r="E49" s="260"/>
      <c r="F49" s="260"/>
      <c r="G49" s="260"/>
      <c r="H49" s="260">
        <f>-'Table 5C1 - Type 2s'!AI43</f>
        <v>-1172.0625</v>
      </c>
      <c r="I49" s="260"/>
      <c r="J49" s="260"/>
      <c r="K49" s="260"/>
      <c r="L49" s="260"/>
      <c r="M49" s="260">
        <f>-'Table 5C2 - LA Virtual Admy '!AJ48</f>
        <v>2101</v>
      </c>
      <c r="N49" s="260">
        <f>-'Table 5C3 - LA Connections  '!AJ48</f>
        <v>-1563</v>
      </c>
      <c r="O49" s="260">
        <f>-'Table 5E_OJJ'!R50</f>
        <v>-448</v>
      </c>
      <c r="P49" s="301">
        <f t="shared" si="2"/>
        <v>2750941.9375</v>
      </c>
      <c r="Q49" s="260"/>
      <c r="R49" s="260"/>
      <c r="S49" s="260"/>
      <c r="T49" s="260"/>
      <c r="U49" s="260"/>
      <c r="V49" s="260">
        <f>'Table 5C1 - Type 2s'!AN43</f>
        <v>-11.75</v>
      </c>
      <c r="W49" s="260"/>
      <c r="X49" s="260"/>
      <c r="Y49" s="260"/>
      <c r="Z49" s="260">
        <f>'Table 5C2 - LA Virtual Admy '!AQ48</f>
        <v>58</v>
      </c>
      <c r="AA49" s="260">
        <f>'Table 5C3 - LA Connections  '!AO48</f>
        <v>3</v>
      </c>
      <c r="AB49" s="301">
        <f t="shared" si="3"/>
        <v>2750991.1875</v>
      </c>
      <c r="AC49" s="256"/>
      <c r="AI49"/>
      <c r="AR49"/>
    </row>
    <row r="50" spans="1:44">
      <c r="A50" s="266">
        <v>45</v>
      </c>
      <c r="B50" s="267" t="s">
        <v>220</v>
      </c>
      <c r="C50" s="268">
        <f>'Table 2 Distributions &amp; Adjust'!S51</f>
        <v>2510398</v>
      </c>
      <c r="D50" s="269"/>
      <c r="E50" s="269"/>
      <c r="F50" s="269"/>
      <c r="G50" s="269"/>
      <c r="H50" s="269">
        <f>-'Table 5C1 - Type 2s'!AI44</f>
        <v>-2384.7731250000002</v>
      </c>
      <c r="I50" s="269">
        <f>-'Table 5C1 - Type 2s'!AI63</f>
        <v>-1192.3865625000001</v>
      </c>
      <c r="J50" s="269"/>
      <c r="K50" s="269"/>
      <c r="L50" s="269"/>
      <c r="M50" s="269">
        <f>-'Table 5C2 - LA Virtual Admy '!AJ49</f>
        <v>9154</v>
      </c>
      <c r="N50" s="269">
        <f>-'Table 5C3 - LA Connections  '!AJ49</f>
        <v>-5525</v>
      </c>
      <c r="O50" s="269">
        <f>-'Table 5E_OJJ'!R51</f>
        <v>-824</v>
      </c>
      <c r="P50" s="302">
        <f t="shared" si="2"/>
        <v>2509625.8403125</v>
      </c>
      <c r="Q50" s="269"/>
      <c r="R50" s="269"/>
      <c r="S50" s="269"/>
      <c r="T50" s="269"/>
      <c r="U50" s="269"/>
      <c r="V50" s="305">
        <f>'Table 5C1 - Type 2s'!AN44</f>
        <v>-23.907499999999999</v>
      </c>
      <c r="W50" s="269">
        <f>'Table 5C1 - Type 2s'!AN63</f>
        <v>-11.953749999999999</v>
      </c>
      <c r="X50" s="269"/>
      <c r="Y50" s="269"/>
      <c r="Z50" s="269">
        <f>'Table 5C2 - LA Virtual Admy '!AQ49</f>
        <v>162</v>
      </c>
      <c r="AA50" s="269">
        <f>'Table 5C3 - LA Connections  '!AO49</f>
        <v>-16</v>
      </c>
      <c r="AB50" s="302">
        <f t="shared" si="3"/>
        <v>2509735.9790624999</v>
      </c>
      <c r="AC50" s="256"/>
      <c r="AI50"/>
      <c r="AR50"/>
    </row>
    <row r="51" spans="1:44">
      <c r="A51" s="257">
        <v>46</v>
      </c>
      <c r="B51" s="258" t="s">
        <v>78</v>
      </c>
      <c r="C51" s="259">
        <f>'Table 2 Distributions &amp; Adjust'!S52</f>
        <v>418440</v>
      </c>
      <c r="D51" s="260">
        <f>-'Table 5B2_RSD_LA'!AN35</f>
        <v>-12961.5</v>
      </c>
      <c r="E51" s="260"/>
      <c r="F51" s="260"/>
      <c r="G51" s="260"/>
      <c r="H51" s="260"/>
      <c r="I51" s="260"/>
      <c r="J51" s="260"/>
      <c r="K51" s="260"/>
      <c r="L51" s="260"/>
      <c r="M51" s="260">
        <f>-'Table 5C2 - LA Virtual Admy '!AJ50</f>
        <v>-882</v>
      </c>
      <c r="N51" s="260">
        <f>-'Table 5C3 - LA Connections  '!AJ50</f>
        <v>0</v>
      </c>
      <c r="O51" s="260">
        <f>-'Table 5E_OJJ'!R52</f>
        <v>0</v>
      </c>
      <c r="P51" s="301">
        <f t="shared" si="2"/>
        <v>404596.5</v>
      </c>
      <c r="Q51" s="260"/>
      <c r="R51" s="260"/>
      <c r="S51" s="260"/>
      <c r="T51" s="260"/>
      <c r="U51" s="260"/>
      <c r="V51" s="260"/>
      <c r="W51" s="260"/>
      <c r="X51" s="260"/>
      <c r="Y51" s="260"/>
      <c r="Z51" s="260">
        <f>'Table 5C2 - LA Virtual Admy '!AQ50</f>
        <v>-1</v>
      </c>
      <c r="AA51" s="260">
        <f>'Table 5C3 - LA Connections  '!AO50</f>
        <v>0</v>
      </c>
      <c r="AB51" s="301">
        <f t="shared" si="3"/>
        <v>404595.5</v>
      </c>
      <c r="AC51" s="256"/>
      <c r="AI51"/>
      <c r="AR51"/>
    </row>
    <row r="52" spans="1:44">
      <c r="A52" s="257">
        <v>47</v>
      </c>
      <c r="B52" s="258" t="s">
        <v>221</v>
      </c>
      <c r="C52" s="259">
        <f>'Table 2 Distributions &amp; Adjust'!S53</f>
        <v>1268724</v>
      </c>
      <c r="D52" s="260"/>
      <c r="E52" s="260"/>
      <c r="F52" s="260"/>
      <c r="G52" s="260"/>
      <c r="H52" s="260"/>
      <c r="I52" s="260"/>
      <c r="J52" s="260"/>
      <c r="K52" s="260"/>
      <c r="L52" s="260"/>
      <c r="M52" s="260">
        <f>-'Table 5C2 - LA Virtual Admy '!AJ51</f>
        <v>-2734</v>
      </c>
      <c r="N52" s="260">
        <f>-'Table 5C3 - LA Connections  '!AJ51</f>
        <v>0</v>
      </c>
      <c r="O52" s="260">
        <f>-'Table 5E_OJJ'!R53</f>
        <v>0</v>
      </c>
      <c r="P52" s="301">
        <f t="shared" si="2"/>
        <v>1265990</v>
      </c>
      <c r="Q52" s="260"/>
      <c r="R52" s="260"/>
      <c r="S52" s="260"/>
      <c r="T52" s="260"/>
      <c r="U52" s="260"/>
      <c r="V52" s="260"/>
      <c r="W52" s="260"/>
      <c r="X52" s="260"/>
      <c r="Y52" s="260"/>
      <c r="Z52" s="260">
        <f>'Table 5C2 - LA Virtual Admy '!AQ51</f>
        <v>8</v>
      </c>
      <c r="AA52" s="260">
        <f>'Table 5C3 - LA Connections  '!AO51</f>
        <v>0</v>
      </c>
      <c r="AB52" s="301">
        <f t="shared" si="3"/>
        <v>1265998</v>
      </c>
      <c r="AC52" s="256"/>
      <c r="AI52"/>
      <c r="AR52"/>
    </row>
    <row r="53" spans="1:44">
      <c r="A53" s="257">
        <v>48</v>
      </c>
      <c r="B53" s="258" t="s">
        <v>222</v>
      </c>
      <c r="C53" s="259">
        <f>'Table 2 Distributions &amp; Adjust'!S54</f>
        <v>2320051</v>
      </c>
      <c r="D53" s="260"/>
      <c r="E53" s="260"/>
      <c r="F53" s="260"/>
      <c r="G53" s="260"/>
      <c r="H53" s="260">
        <f>-'Table 5C1 - Type 2s'!AI45</f>
        <v>-2070.3112500000002</v>
      </c>
      <c r="I53" s="260"/>
      <c r="J53" s="260"/>
      <c r="K53" s="260"/>
      <c r="L53" s="260"/>
      <c r="M53" s="260">
        <f>-'Table 5C2 - LA Virtual Admy '!AJ52</f>
        <v>-489</v>
      </c>
      <c r="N53" s="260">
        <f>-'Table 5C3 - LA Connections  '!AJ52</f>
        <v>-1092</v>
      </c>
      <c r="O53" s="260">
        <f>-'Table 5E_OJJ'!R54</f>
        <v>-477</v>
      </c>
      <c r="P53" s="301">
        <f t="shared" si="2"/>
        <v>2315922.6887500002</v>
      </c>
      <c r="Q53" s="260"/>
      <c r="R53" s="260"/>
      <c r="S53" s="260"/>
      <c r="T53" s="260"/>
      <c r="U53" s="260"/>
      <c r="V53" s="260">
        <f>'Table 5C1 - Type 2s'!AN45</f>
        <v>-20.754999999999999</v>
      </c>
      <c r="W53" s="260"/>
      <c r="X53" s="260"/>
      <c r="Y53" s="260"/>
      <c r="Z53" s="260">
        <f>'Table 5C2 - LA Virtual Admy '!AQ52</f>
        <v>50</v>
      </c>
      <c r="AA53" s="260">
        <f>'Table 5C3 - LA Connections  '!AO52</f>
        <v>1</v>
      </c>
      <c r="AB53" s="301">
        <f t="shared" si="3"/>
        <v>2315952.9337500003</v>
      </c>
      <c r="AC53" s="256"/>
      <c r="AI53"/>
      <c r="AR53"/>
    </row>
    <row r="54" spans="1:44">
      <c r="A54" s="257">
        <v>49</v>
      </c>
      <c r="B54" s="258" t="s">
        <v>223</v>
      </c>
      <c r="C54" s="259">
        <f>'Table 2 Distributions &amp; Adjust'!S55</f>
        <v>6917008</v>
      </c>
      <c r="D54" s="260"/>
      <c r="E54" s="260"/>
      <c r="F54" s="260"/>
      <c r="G54" s="260"/>
      <c r="H54" s="260"/>
      <c r="I54" s="260"/>
      <c r="J54" s="260"/>
      <c r="K54" s="260"/>
      <c r="L54" s="260"/>
      <c r="M54" s="260">
        <f>-'Table 5C2 - LA Virtual Admy '!AJ53</f>
        <v>-12095</v>
      </c>
      <c r="N54" s="260">
        <f>-'Table 5C3 - LA Connections  '!AJ53</f>
        <v>-1833</v>
      </c>
      <c r="O54" s="260">
        <f>-'Table 5E_OJJ'!R55</f>
        <v>-1160</v>
      </c>
      <c r="P54" s="301">
        <f t="shared" si="2"/>
        <v>6901920</v>
      </c>
      <c r="Q54" s="260"/>
      <c r="R54" s="260"/>
      <c r="S54" s="260"/>
      <c r="T54" s="260"/>
      <c r="U54" s="260"/>
      <c r="V54" s="260"/>
      <c r="W54" s="260"/>
      <c r="X54" s="260"/>
      <c r="Y54" s="260"/>
      <c r="Z54" s="260">
        <f>'Table 5C2 - LA Virtual Admy '!AQ53</f>
        <v>-63</v>
      </c>
      <c r="AA54" s="260">
        <f>'Table 5C3 - LA Connections  '!AO53</f>
        <v>-4</v>
      </c>
      <c r="AB54" s="301">
        <f t="shared" si="3"/>
        <v>6901853</v>
      </c>
      <c r="AC54" s="256"/>
      <c r="AI54"/>
      <c r="AR54"/>
    </row>
    <row r="55" spans="1:44">
      <c r="A55" s="266">
        <v>50</v>
      </c>
      <c r="B55" s="267" t="s">
        <v>224</v>
      </c>
      <c r="C55" s="268">
        <f>'Table 2 Distributions &amp; Adjust'!S56</f>
        <v>3725149</v>
      </c>
      <c r="D55" s="269"/>
      <c r="E55" s="269"/>
      <c r="F55" s="269"/>
      <c r="G55" s="269"/>
      <c r="H55" s="269"/>
      <c r="I55" s="269"/>
      <c r="J55" s="269"/>
      <c r="K55" s="269"/>
      <c r="L55" s="269"/>
      <c r="M55" s="269">
        <f>-'Table 5C2 - LA Virtual Admy '!AJ54</f>
        <v>-2362</v>
      </c>
      <c r="N55" s="269">
        <f>-'Table 5C3 - LA Connections  '!AJ54</f>
        <v>-5128</v>
      </c>
      <c r="O55" s="269">
        <f>-'Table 5E_OJJ'!R56</f>
        <v>-1181</v>
      </c>
      <c r="P55" s="302">
        <f t="shared" si="2"/>
        <v>3716478</v>
      </c>
      <c r="Q55" s="269"/>
      <c r="R55" s="269"/>
      <c r="S55" s="269"/>
      <c r="T55" s="269"/>
      <c r="U55" s="269"/>
      <c r="V55" s="269"/>
      <c r="W55" s="269"/>
      <c r="X55" s="269"/>
      <c r="Y55" s="269"/>
      <c r="Z55" s="269">
        <f>'Table 5C2 - LA Virtual Admy '!AQ54</f>
        <v>-6</v>
      </c>
      <c r="AA55" s="269">
        <f>'Table 5C3 - LA Connections  '!AO54</f>
        <v>-31</v>
      </c>
      <c r="AB55" s="302">
        <f t="shared" si="3"/>
        <v>3716441</v>
      </c>
      <c r="AC55" s="256"/>
      <c r="AI55"/>
      <c r="AR55"/>
    </row>
    <row r="56" spans="1:44">
      <c r="A56" s="257">
        <v>51</v>
      </c>
      <c r="B56" s="258" t="s">
        <v>225</v>
      </c>
      <c r="C56" s="259">
        <f>'Table 2 Distributions &amp; Adjust'!S57</f>
        <v>4027417</v>
      </c>
      <c r="D56" s="260"/>
      <c r="E56" s="260"/>
      <c r="F56" s="260"/>
      <c r="G56" s="260"/>
      <c r="H56" s="260"/>
      <c r="I56" s="260"/>
      <c r="J56" s="260"/>
      <c r="K56" s="260"/>
      <c r="L56" s="260"/>
      <c r="M56" s="260">
        <f>-'Table 5C2 - LA Virtual Admy '!AJ55</f>
        <v>-8382</v>
      </c>
      <c r="N56" s="260">
        <f>-'Table 5C3 - LA Connections  '!AJ55</f>
        <v>-1578</v>
      </c>
      <c r="O56" s="260">
        <f>-'Table 5E_OJJ'!R57</f>
        <v>-1078</v>
      </c>
      <c r="P56" s="301">
        <f t="shared" si="2"/>
        <v>4016379</v>
      </c>
      <c r="Q56" s="260"/>
      <c r="R56" s="260"/>
      <c r="S56" s="260"/>
      <c r="T56" s="260"/>
      <c r="U56" s="260"/>
      <c r="V56" s="260"/>
      <c r="W56" s="260"/>
      <c r="X56" s="260"/>
      <c r="Y56" s="260"/>
      <c r="Z56" s="260">
        <f>'Table 5C2 - LA Virtual Admy '!AQ55</f>
        <v>-70</v>
      </c>
      <c r="AA56" s="260">
        <f>'Table 5C3 - LA Connections  '!AO55</f>
        <v>-1</v>
      </c>
      <c r="AB56" s="301">
        <f t="shared" si="3"/>
        <v>4016308</v>
      </c>
      <c r="AC56" s="256"/>
      <c r="AI56"/>
      <c r="AR56"/>
    </row>
    <row r="57" spans="1:44">
      <c r="A57" s="257">
        <v>52</v>
      </c>
      <c r="B57" s="258" t="s">
        <v>226</v>
      </c>
      <c r="C57" s="259">
        <f>'Table 2 Distributions &amp; Adjust'!S58</f>
        <v>17428245</v>
      </c>
      <c r="D57" s="260"/>
      <c r="E57" s="260"/>
      <c r="F57" s="260"/>
      <c r="G57" s="260"/>
      <c r="H57" s="260">
        <f>-'Table 5C1 - Type 2s'!AI46</f>
        <v>-328.51</v>
      </c>
      <c r="I57" s="260">
        <f>-'Table 5C1 - Type 2s'!AI64</f>
        <v>-496.755</v>
      </c>
      <c r="J57" s="260"/>
      <c r="K57" s="260"/>
      <c r="L57" s="260"/>
      <c r="M57" s="260">
        <f>-'Table 5C2 - LA Virtual Admy '!AJ56</f>
        <v>-22784</v>
      </c>
      <c r="N57" s="260">
        <f>-'Table 5C3 - LA Connections  '!AJ56</f>
        <v>-18375</v>
      </c>
      <c r="O57" s="260">
        <f>-'Table 5E_OJJ'!R58</f>
        <v>-3499</v>
      </c>
      <c r="P57" s="301">
        <f t="shared" si="2"/>
        <v>17382761.734999999</v>
      </c>
      <c r="Q57" s="260"/>
      <c r="R57" s="260"/>
      <c r="S57" s="260"/>
      <c r="T57" s="260"/>
      <c r="U57" s="260"/>
      <c r="V57" s="260">
        <f>'Table 5C1 - Type 2s'!AN46</f>
        <v>3.9999999999999147E-2</v>
      </c>
      <c r="W57" s="260">
        <f>'Table 5C1 - Type 2s'!AN64</f>
        <v>-4.9800000000000004</v>
      </c>
      <c r="X57" s="260"/>
      <c r="Y57" s="260"/>
      <c r="Z57" s="260">
        <f>'Table 5C2 - LA Virtual Admy '!AQ56</f>
        <v>26</v>
      </c>
      <c r="AA57" s="260">
        <f>'Table 5C3 - LA Connections  '!AO56</f>
        <v>-13</v>
      </c>
      <c r="AB57" s="301">
        <f t="shared" si="3"/>
        <v>17382769.794999998</v>
      </c>
      <c r="AC57" s="256"/>
      <c r="AI57"/>
      <c r="AR57"/>
    </row>
    <row r="58" spans="1:44">
      <c r="A58" s="257">
        <v>53</v>
      </c>
      <c r="B58" s="258" t="s">
        <v>227</v>
      </c>
      <c r="C58" s="259">
        <f>'Table 2 Distributions &amp; Adjust'!S59</f>
        <v>8813697</v>
      </c>
      <c r="D58" s="260"/>
      <c r="E58" s="260"/>
      <c r="F58" s="260"/>
      <c r="G58" s="260"/>
      <c r="H58" s="260"/>
      <c r="I58" s="260"/>
      <c r="J58" s="260"/>
      <c r="K58" s="260"/>
      <c r="L58" s="260"/>
      <c r="M58" s="260">
        <f>-'Table 5C2 - LA Virtual Admy '!AJ57</f>
        <v>-4348</v>
      </c>
      <c r="N58" s="260">
        <f>-'Table 5C3 - LA Connections  '!AJ57</f>
        <v>-1243</v>
      </c>
      <c r="O58" s="260">
        <f>-'Table 5E_OJJ'!R59</f>
        <v>-1123</v>
      </c>
      <c r="P58" s="301">
        <f t="shared" si="2"/>
        <v>8806983</v>
      </c>
      <c r="Q58" s="260"/>
      <c r="R58" s="260"/>
      <c r="S58" s="260"/>
      <c r="T58" s="260"/>
      <c r="U58" s="260"/>
      <c r="V58" s="260"/>
      <c r="W58" s="260"/>
      <c r="X58" s="260"/>
      <c r="Y58" s="260"/>
      <c r="Z58" s="260">
        <f>'Table 5C2 - LA Virtual Admy '!AQ57</f>
        <v>45</v>
      </c>
      <c r="AA58" s="260">
        <f>'Table 5C3 - LA Connections  '!AO57</f>
        <v>31</v>
      </c>
      <c r="AB58" s="301">
        <f t="shared" si="3"/>
        <v>8807059</v>
      </c>
      <c r="AC58" s="256"/>
      <c r="AI58"/>
      <c r="AR58"/>
    </row>
    <row r="59" spans="1:44">
      <c r="A59" s="257">
        <v>54</v>
      </c>
      <c r="B59" s="258" t="s">
        <v>228</v>
      </c>
      <c r="C59" s="259">
        <f>'Table 2 Distributions &amp; Adjust'!S60</f>
        <v>416065</v>
      </c>
      <c r="D59" s="260"/>
      <c r="E59" s="260"/>
      <c r="F59" s="260"/>
      <c r="G59" s="260"/>
      <c r="H59" s="260"/>
      <c r="I59" s="260"/>
      <c r="J59" s="260"/>
      <c r="K59" s="260"/>
      <c r="L59" s="260"/>
      <c r="M59" s="260">
        <f>-'Table 5C2 - LA Virtual Admy '!AJ58</f>
        <v>0</v>
      </c>
      <c r="N59" s="260">
        <f>-'Table 5C3 - LA Connections  '!AJ58</f>
        <v>-1325</v>
      </c>
      <c r="O59" s="260">
        <f>-'Table 5E_OJJ'!R60</f>
        <v>-228</v>
      </c>
      <c r="P59" s="301">
        <f t="shared" si="2"/>
        <v>414512</v>
      </c>
      <c r="Q59" s="260"/>
      <c r="R59" s="260"/>
      <c r="S59" s="260"/>
      <c r="T59" s="260"/>
      <c r="U59" s="260"/>
      <c r="V59" s="260"/>
      <c r="W59" s="260"/>
      <c r="X59" s="260"/>
      <c r="Y59" s="260"/>
      <c r="Z59" s="260">
        <f>'Table 5C2 - LA Virtual Admy '!AQ58</f>
        <v>0</v>
      </c>
      <c r="AA59" s="260">
        <f>'Table 5C3 - LA Connections  '!AO58</f>
        <v>-13</v>
      </c>
      <c r="AB59" s="301">
        <f t="shared" si="3"/>
        <v>414499</v>
      </c>
      <c r="AC59" s="256"/>
      <c r="AI59"/>
      <c r="AR59"/>
    </row>
    <row r="60" spans="1:44">
      <c r="A60" s="266">
        <v>55</v>
      </c>
      <c r="B60" s="267" t="s">
        <v>229</v>
      </c>
      <c r="C60" s="268">
        <f>'Table 2 Distributions &amp; Adjust'!S61</f>
        <v>7211616</v>
      </c>
      <c r="D60" s="269"/>
      <c r="E60" s="269"/>
      <c r="F60" s="269"/>
      <c r="G60" s="269"/>
      <c r="H60" s="269"/>
      <c r="I60" s="269"/>
      <c r="J60" s="269"/>
      <c r="K60" s="269"/>
      <c r="L60" s="269"/>
      <c r="M60" s="269">
        <f>-'Table 5C2 - LA Virtual Admy '!AJ59</f>
        <v>-11335</v>
      </c>
      <c r="N60" s="269">
        <f>-'Table 5C3 - LA Connections  '!AJ59</f>
        <v>-1399</v>
      </c>
      <c r="O60" s="269">
        <f>-'Table 5E_OJJ'!R61</f>
        <v>-2224</v>
      </c>
      <c r="P60" s="302">
        <f t="shared" si="2"/>
        <v>7196658</v>
      </c>
      <c r="Q60" s="269"/>
      <c r="R60" s="269"/>
      <c r="S60" s="269"/>
      <c r="T60" s="269"/>
      <c r="U60" s="269"/>
      <c r="V60" s="269"/>
      <c r="W60" s="269"/>
      <c r="X60" s="269"/>
      <c r="Y60" s="269"/>
      <c r="Z60" s="269">
        <f>'Table 5C2 - LA Virtual Admy '!AQ59</f>
        <v>-94</v>
      </c>
      <c r="AA60" s="269">
        <f>'Table 5C3 - LA Connections  '!AO59</f>
        <v>24</v>
      </c>
      <c r="AB60" s="302">
        <f t="shared" si="3"/>
        <v>7196588</v>
      </c>
      <c r="AC60" s="256"/>
      <c r="AI60"/>
      <c r="AR60"/>
    </row>
    <row r="61" spans="1:44">
      <c r="A61" s="257">
        <v>56</v>
      </c>
      <c r="B61" s="258" t="s">
        <v>230</v>
      </c>
      <c r="C61" s="259">
        <f>'Table 2 Distributions &amp; Adjust'!S62</f>
        <v>1143843</v>
      </c>
      <c r="D61" s="260"/>
      <c r="E61" s="260"/>
      <c r="F61" s="260"/>
      <c r="G61" s="260">
        <f>-'Table 5C1 - Type 2s'!AI24</f>
        <v>-98116.119062499987</v>
      </c>
      <c r="H61" s="260"/>
      <c r="I61" s="260"/>
      <c r="J61" s="260"/>
      <c r="K61" s="260"/>
      <c r="L61" s="260"/>
      <c r="M61" s="260">
        <f>-'Table 5C2 - LA Virtual Admy '!AJ60</f>
        <v>-2426</v>
      </c>
      <c r="N61" s="260">
        <f>-'Table 5C3 - LA Connections  '!AJ60</f>
        <v>508</v>
      </c>
      <c r="O61" s="260">
        <f>-'Table 5E_OJJ'!R62</f>
        <v>0</v>
      </c>
      <c r="P61" s="301">
        <f t="shared" si="2"/>
        <v>1043808.8809375</v>
      </c>
      <c r="Q61" s="260"/>
      <c r="R61" s="260"/>
      <c r="S61" s="260"/>
      <c r="T61" s="260"/>
      <c r="U61" s="260">
        <f>'Table 5C1 - Type 2s'!AN24</f>
        <v>-523.86875000000009</v>
      </c>
      <c r="V61" s="260"/>
      <c r="W61" s="260"/>
      <c r="X61" s="260"/>
      <c r="Y61" s="260"/>
      <c r="Z61" s="260">
        <f>'Table 5C2 - LA Virtual Admy '!AQ60</f>
        <v>-14</v>
      </c>
      <c r="AA61" s="260">
        <f>'Table 5C3 - LA Connections  '!AO60</f>
        <v>16</v>
      </c>
      <c r="AB61" s="301">
        <f t="shared" si="3"/>
        <v>1043287.0121875</v>
      </c>
      <c r="AC61" s="256"/>
      <c r="AI61"/>
      <c r="AR61"/>
    </row>
    <row r="62" spans="1:44">
      <c r="A62" s="257">
        <v>57</v>
      </c>
      <c r="B62" s="258" t="s">
        <v>231</v>
      </c>
      <c r="C62" s="259">
        <f>'Table 2 Distributions &amp; Adjust'!S63</f>
        <v>3962987</v>
      </c>
      <c r="D62" s="260"/>
      <c r="E62" s="260"/>
      <c r="F62" s="260"/>
      <c r="G62" s="260"/>
      <c r="H62" s="260"/>
      <c r="I62" s="260"/>
      <c r="J62" s="260"/>
      <c r="K62" s="260"/>
      <c r="L62" s="260"/>
      <c r="M62" s="260">
        <f>-'Table 5C2 - LA Virtual Admy '!AJ61</f>
        <v>-2196</v>
      </c>
      <c r="N62" s="260">
        <f>-'Table 5C3 - LA Connections  '!AJ61</f>
        <v>-2626</v>
      </c>
      <c r="O62" s="260">
        <f>-'Table 5E_OJJ'!R63</f>
        <v>-779</v>
      </c>
      <c r="P62" s="301">
        <f t="shared" si="2"/>
        <v>3957386</v>
      </c>
      <c r="Q62" s="260"/>
      <c r="R62" s="260"/>
      <c r="S62" s="260"/>
      <c r="T62" s="260"/>
      <c r="U62" s="260"/>
      <c r="V62" s="260"/>
      <c r="W62" s="260"/>
      <c r="X62" s="260"/>
      <c r="Y62" s="260"/>
      <c r="Z62" s="260">
        <f>'Table 5C2 - LA Virtual Admy '!AQ61</f>
        <v>3</v>
      </c>
      <c r="AA62" s="260">
        <f>'Table 5C3 - LA Connections  '!AO61</f>
        <v>-17</v>
      </c>
      <c r="AB62" s="301">
        <f t="shared" si="3"/>
        <v>3957372</v>
      </c>
      <c r="AC62" s="256"/>
      <c r="AI62"/>
      <c r="AR62"/>
    </row>
    <row r="63" spans="1:44">
      <c r="A63" s="257">
        <v>58</v>
      </c>
      <c r="B63" s="258" t="s">
        <v>232</v>
      </c>
      <c r="C63" s="259">
        <f>'Table 2 Distributions &amp; Adjust'!S64</f>
        <v>4901564</v>
      </c>
      <c r="D63" s="260"/>
      <c r="E63" s="260"/>
      <c r="F63" s="260"/>
      <c r="G63" s="260"/>
      <c r="H63" s="260"/>
      <c r="I63" s="260"/>
      <c r="J63" s="260"/>
      <c r="K63" s="260"/>
      <c r="L63" s="260"/>
      <c r="M63" s="260">
        <f>-'Table 5C2 - LA Virtual Admy '!AJ62</f>
        <v>-6588</v>
      </c>
      <c r="N63" s="260">
        <f>-'Table 5C3 - LA Connections  '!AJ62</f>
        <v>-1989</v>
      </c>
      <c r="O63" s="260">
        <f>-'Table 5E_OJJ'!R64</f>
        <v>-346</v>
      </c>
      <c r="P63" s="301">
        <f t="shared" si="2"/>
        <v>4892641</v>
      </c>
      <c r="Q63" s="260"/>
      <c r="R63" s="260"/>
      <c r="S63" s="260"/>
      <c r="T63" s="260"/>
      <c r="U63" s="260"/>
      <c r="V63" s="260"/>
      <c r="W63" s="260"/>
      <c r="X63" s="260"/>
      <c r="Y63" s="260"/>
      <c r="Z63" s="260">
        <f>'Table 5C2 - LA Virtual Admy '!AQ62</f>
        <v>-34</v>
      </c>
      <c r="AA63" s="260">
        <f>'Table 5C3 - LA Connections  '!AO62</f>
        <v>-5</v>
      </c>
      <c r="AB63" s="301">
        <f t="shared" si="3"/>
        <v>4892602</v>
      </c>
      <c r="AC63" s="256"/>
      <c r="AI63"/>
      <c r="AR63"/>
    </row>
    <row r="64" spans="1:44">
      <c r="A64" s="257">
        <v>59</v>
      </c>
      <c r="B64" s="258" t="s">
        <v>233</v>
      </c>
      <c r="C64" s="259">
        <f>'Table 2 Distributions &amp; Adjust'!S65</f>
        <v>3036745</v>
      </c>
      <c r="D64" s="260"/>
      <c r="E64" s="260"/>
      <c r="F64" s="260"/>
      <c r="G64" s="260"/>
      <c r="H64" s="260"/>
      <c r="I64" s="260"/>
      <c r="J64" s="260"/>
      <c r="K64" s="260"/>
      <c r="L64" s="260"/>
      <c r="M64" s="260">
        <f>-'Table 5C2 - LA Virtual Admy '!AJ63</f>
        <v>-755</v>
      </c>
      <c r="N64" s="260">
        <f>-'Table 5C3 - LA Connections  '!AJ63</f>
        <v>-2242</v>
      </c>
      <c r="O64" s="260">
        <f>-'Table 5E_OJJ'!R65</f>
        <v>-290</v>
      </c>
      <c r="P64" s="301">
        <f t="shared" si="2"/>
        <v>3033458</v>
      </c>
      <c r="Q64" s="260"/>
      <c r="R64" s="260"/>
      <c r="S64" s="260"/>
      <c r="T64" s="260"/>
      <c r="U64" s="260"/>
      <c r="V64" s="260"/>
      <c r="W64" s="260"/>
      <c r="X64" s="260"/>
      <c r="Y64" s="260"/>
      <c r="Z64" s="260">
        <f>'Table 5C2 - LA Virtual Admy '!AQ63</f>
        <v>2</v>
      </c>
      <c r="AA64" s="260">
        <f>'Table 5C3 - LA Connections  '!AO63</f>
        <v>-18</v>
      </c>
      <c r="AB64" s="301">
        <f t="shared" si="3"/>
        <v>3033442</v>
      </c>
      <c r="AC64" s="256"/>
      <c r="AI64"/>
      <c r="AR64"/>
    </row>
    <row r="65" spans="1:44">
      <c r="A65" s="266">
        <v>60</v>
      </c>
      <c r="B65" s="267" t="s">
        <v>234</v>
      </c>
      <c r="C65" s="268">
        <f>'Table 2 Distributions &amp; Adjust'!S66</f>
        <v>2727112</v>
      </c>
      <c r="D65" s="269"/>
      <c r="E65" s="269"/>
      <c r="F65" s="269"/>
      <c r="G65" s="269"/>
      <c r="H65" s="269"/>
      <c r="I65" s="269"/>
      <c r="J65" s="269"/>
      <c r="K65" s="269"/>
      <c r="L65" s="269"/>
      <c r="M65" s="269">
        <f>-'Table 5C2 - LA Virtual Admy '!AJ64</f>
        <v>-4675</v>
      </c>
      <c r="N65" s="269">
        <f>-'Table 5C3 - LA Connections  '!AJ64</f>
        <v>-8821</v>
      </c>
      <c r="O65" s="269">
        <f>-'Table 5E_OJJ'!R66</f>
        <v>-325</v>
      </c>
      <c r="P65" s="302">
        <f t="shared" si="2"/>
        <v>2713291</v>
      </c>
      <c r="Q65" s="269"/>
      <c r="R65" s="269"/>
      <c r="S65" s="269"/>
      <c r="T65" s="269"/>
      <c r="U65" s="269"/>
      <c r="V65" s="269"/>
      <c r="W65" s="269"/>
      <c r="X65" s="269"/>
      <c r="Y65" s="269"/>
      <c r="Z65" s="269">
        <f>'Table 5C2 - LA Virtual Admy '!AQ64</f>
        <v>-3</v>
      </c>
      <c r="AA65" s="269">
        <f>'Table 5C3 - LA Connections  '!AO64</f>
        <v>-61</v>
      </c>
      <c r="AB65" s="302">
        <f t="shared" si="3"/>
        <v>2713227</v>
      </c>
      <c r="AC65" s="256"/>
      <c r="AI65"/>
      <c r="AR65"/>
    </row>
    <row r="66" spans="1:44">
      <c r="A66" s="257">
        <v>61</v>
      </c>
      <c r="B66" s="258" t="s">
        <v>235</v>
      </c>
      <c r="C66" s="259">
        <f>'Table 2 Distributions &amp; Adjust'!S67</f>
        <v>1156544</v>
      </c>
      <c r="D66" s="260"/>
      <c r="E66" s="260"/>
      <c r="F66" s="260"/>
      <c r="G66" s="260"/>
      <c r="H66" s="260"/>
      <c r="I66" s="260"/>
      <c r="J66" s="260"/>
      <c r="K66" s="260"/>
      <c r="L66" s="260"/>
      <c r="M66" s="260">
        <f>-'Table 5C2 - LA Virtual Admy '!AJ65</f>
        <v>-17609</v>
      </c>
      <c r="N66" s="260">
        <f>-'Table 5C3 - LA Connections  '!AJ65</f>
        <v>1828</v>
      </c>
      <c r="O66" s="260">
        <f>-'Table 5E_OJJ'!R67</f>
        <v>-3138</v>
      </c>
      <c r="P66" s="301">
        <f t="shared" si="2"/>
        <v>1137625</v>
      </c>
      <c r="Q66" s="260"/>
      <c r="R66" s="260"/>
      <c r="S66" s="260"/>
      <c r="T66" s="260"/>
      <c r="U66" s="260"/>
      <c r="V66" s="260"/>
      <c r="W66" s="260"/>
      <c r="X66" s="260"/>
      <c r="Y66" s="260"/>
      <c r="Z66" s="260">
        <f>'Table 5C2 - LA Virtual Admy '!AQ65</f>
        <v>-163</v>
      </c>
      <c r="AA66" s="260">
        <f>'Table 5C3 - LA Connections  '!AO65</f>
        <v>27</v>
      </c>
      <c r="AB66" s="301">
        <f t="shared" si="3"/>
        <v>1137489</v>
      </c>
      <c r="AC66" s="256"/>
      <c r="AI66"/>
      <c r="AR66"/>
    </row>
    <row r="67" spans="1:44">
      <c r="A67" s="257">
        <v>62</v>
      </c>
      <c r="B67" s="258" t="s">
        <v>236</v>
      </c>
      <c r="C67" s="259">
        <f>'Table 2 Distributions &amp; Adjust'!S68</f>
        <v>1019572</v>
      </c>
      <c r="D67" s="260"/>
      <c r="E67" s="260"/>
      <c r="F67" s="260"/>
      <c r="G67" s="260"/>
      <c r="H67" s="260"/>
      <c r="I67" s="260"/>
      <c r="J67" s="260"/>
      <c r="K67" s="260"/>
      <c r="L67" s="260"/>
      <c r="M67" s="260">
        <f>-'Table 5C2 - LA Virtual Admy '!AJ66</f>
        <v>-126</v>
      </c>
      <c r="N67" s="260">
        <f>-'Table 5C3 - LA Connections  '!AJ66</f>
        <v>-126</v>
      </c>
      <c r="O67" s="260">
        <f>-'Table 5E_OJJ'!R68</f>
        <v>-142</v>
      </c>
      <c r="P67" s="301">
        <f t="shared" si="2"/>
        <v>1019178</v>
      </c>
      <c r="Q67" s="260"/>
      <c r="R67" s="260"/>
      <c r="S67" s="260"/>
      <c r="T67" s="260"/>
      <c r="U67" s="260"/>
      <c r="V67" s="260"/>
      <c r="W67" s="260"/>
      <c r="X67" s="260"/>
      <c r="Y67" s="260"/>
      <c r="Z67" s="260">
        <f>'Table 5C2 - LA Virtual Admy '!AQ66</f>
        <v>1</v>
      </c>
      <c r="AA67" s="260">
        <f>'Table 5C3 - LA Connections  '!AO66</f>
        <v>1</v>
      </c>
      <c r="AB67" s="301">
        <f t="shared" si="3"/>
        <v>1019180</v>
      </c>
      <c r="AC67" s="256"/>
      <c r="AI67"/>
      <c r="AR67"/>
    </row>
    <row r="68" spans="1:44">
      <c r="A68" s="257">
        <v>63</v>
      </c>
      <c r="B68" s="258" t="s">
        <v>237</v>
      </c>
      <c r="C68" s="259">
        <f>'Table 2 Distributions &amp; Adjust'!S69</f>
        <v>812458</v>
      </c>
      <c r="D68" s="260"/>
      <c r="E68" s="260"/>
      <c r="F68" s="260"/>
      <c r="G68" s="260"/>
      <c r="H68" s="260"/>
      <c r="I68" s="260"/>
      <c r="J68" s="260"/>
      <c r="K68" s="260"/>
      <c r="L68" s="260"/>
      <c r="M68" s="260">
        <f>-'Table 5C2 - LA Virtual Admy '!AJ67</f>
        <v>-5484</v>
      </c>
      <c r="N68" s="260">
        <f>-'Table 5C3 - LA Connections  '!AJ67</f>
        <v>-7091</v>
      </c>
      <c r="O68" s="260">
        <f>-'Table 5E_OJJ'!R69</f>
        <v>-854</v>
      </c>
      <c r="P68" s="301">
        <f t="shared" si="2"/>
        <v>799029</v>
      </c>
      <c r="Q68" s="260"/>
      <c r="R68" s="260"/>
      <c r="S68" s="260"/>
      <c r="T68" s="260"/>
      <c r="U68" s="260"/>
      <c r="V68" s="260"/>
      <c r="W68" s="260"/>
      <c r="X68" s="260"/>
      <c r="Y68" s="260"/>
      <c r="Z68" s="260">
        <f>'Table 5C2 - LA Virtual Admy '!AQ67</f>
        <v>-55</v>
      </c>
      <c r="AA68" s="260">
        <f>'Table 5C3 - LA Connections  '!AO67</f>
        <v>-59</v>
      </c>
      <c r="AB68" s="301">
        <f t="shared" si="3"/>
        <v>798915</v>
      </c>
      <c r="AC68" s="256"/>
      <c r="AI68"/>
      <c r="AR68"/>
    </row>
    <row r="69" spans="1:44">
      <c r="A69" s="257">
        <v>64</v>
      </c>
      <c r="B69" s="258" t="s">
        <v>238</v>
      </c>
      <c r="C69" s="259">
        <f>'Table 2 Distributions &amp; Adjust'!S70</f>
        <v>1287834</v>
      </c>
      <c r="D69" s="260"/>
      <c r="E69" s="260"/>
      <c r="F69" s="260"/>
      <c r="G69" s="260"/>
      <c r="H69" s="260"/>
      <c r="I69" s="260"/>
      <c r="J69" s="260"/>
      <c r="K69" s="260"/>
      <c r="L69" s="260"/>
      <c r="M69" s="260">
        <f>-'Table 5C2 - LA Virtual Admy '!AJ68</f>
        <v>-1080</v>
      </c>
      <c r="N69" s="260">
        <f>-'Table 5C3 - LA Connections  '!AJ68</f>
        <v>-205</v>
      </c>
      <c r="O69" s="260">
        <f>-'Table 5E_OJJ'!R70</f>
        <v>0</v>
      </c>
      <c r="P69" s="301">
        <f t="shared" si="2"/>
        <v>1286549</v>
      </c>
      <c r="Q69" s="260"/>
      <c r="R69" s="260"/>
      <c r="S69" s="260"/>
      <c r="T69" s="260"/>
      <c r="U69" s="260"/>
      <c r="V69" s="260"/>
      <c r="W69" s="260"/>
      <c r="X69" s="260"/>
      <c r="Y69" s="260"/>
      <c r="Z69" s="260">
        <f>'Table 5C2 - LA Virtual Admy '!AQ68</f>
        <v>-9</v>
      </c>
      <c r="AA69" s="260">
        <f>'Table 5C3 - LA Connections  '!AO68</f>
        <v>0</v>
      </c>
      <c r="AB69" s="301">
        <f t="shared" si="3"/>
        <v>1286540</v>
      </c>
      <c r="AC69" s="256"/>
      <c r="AI69"/>
      <c r="AR69"/>
    </row>
    <row r="70" spans="1:44">
      <c r="A70" s="266">
        <v>65</v>
      </c>
      <c r="B70" s="267" t="s">
        <v>239</v>
      </c>
      <c r="C70" s="268">
        <f>'Table 2 Distributions &amp; Adjust'!S71</f>
        <v>3719397</v>
      </c>
      <c r="D70" s="269"/>
      <c r="E70" s="269"/>
      <c r="F70" s="269"/>
      <c r="G70" s="269"/>
      <c r="H70" s="269"/>
      <c r="I70" s="269"/>
      <c r="J70" s="269"/>
      <c r="K70" s="269"/>
      <c r="L70" s="269"/>
      <c r="M70" s="269">
        <f>-'Table 5C2 - LA Virtual Admy '!AJ69</f>
        <v>-7869</v>
      </c>
      <c r="N70" s="269">
        <f>-'Table 5C3 - LA Connections  '!AJ69</f>
        <v>700</v>
      </c>
      <c r="O70" s="269">
        <f>-'Table 5E_OJJ'!R71</f>
        <v>-879</v>
      </c>
      <c r="P70" s="302">
        <f t="shared" si="2"/>
        <v>3711349</v>
      </c>
      <c r="Q70" s="269"/>
      <c r="R70" s="269"/>
      <c r="S70" s="269"/>
      <c r="T70" s="269"/>
      <c r="U70" s="269"/>
      <c r="V70" s="269"/>
      <c r="W70" s="269"/>
      <c r="X70" s="269"/>
      <c r="Y70" s="269"/>
      <c r="Z70" s="269">
        <f>'Table 5C2 - LA Virtual Admy '!AQ69</f>
        <v>-79</v>
      </c>
      <c r="AA70" s="269">
        <f>'Table 5C3 - LA Connections  '!AO69</f>
        <v>11</v>
      </c>
      <c r="AB70" s="302">
        <f t="shared" si="3"/>
        <v>3711281</v>
      </c>
      <c r="AC70" s="256"/>
      <c r="AI70"/>
      <c r="AR70"/>
    </row>
    <row r="71" spans="1:44">
      <c r="A71" s="279">
        <v>66</v>
      </c>
      <c r="B71" s="280" t="s">
        <v>240</v>
      </c>
      <c r="C71" s="281">
        <f>'Table 2 Distributions &amp; Adjust'!S72</f>
        <v>1174759</v>
      </c>
      <c r="D71" s="282"/>
      <c r="E71" s="282"/>
      <c r="F71" s="282"/>
      <c r="G71" s="282"/>
      <c r="H71" s="282"/>
      <c r="I71" s="282"/>
      <c r="J71" s="282"/>
      <c r="K71" s="282"/>
      <c r="L71" s="282"/>
      <c r="M71" s="282">
        <f>-'Table 5C2 - LA Virtual Admy '!AJ70</f>
        <v>-5386</v>
      </c>
      <c r="N71" s="282">
        <f>-'Table 5C3 - LA Connections  '!AJ70</f>
        <v>2940</v>
      </c>
      <c r="O71" s="282">
        <f>-'Table 5E_OJJ'!R72</f>
        <v>-830</v>
      </c>
      <c r="P71" s="306">
        <f t="shared" ref="P71:P74" si="4">SUM(C71:O71)</f>
        <v>1171483</v>
      </c>
      <c r="Q71" s="282"/>
      <c r="R71" s="282"/>
      <c r="S71" s="282"/>
      <c r="T71" s="282"/>
      <c r="U71" s="282"/>
      <c r="V71" s="282"/>
      <c r="W71" s="282"/>
      <c r="X71" s="282"/>
      <c r="Y71" s="282"/>
      <c r="Z71" s="282">
        <f>'Table 5C2 - LA Virtual Admy '!AQ70</f>
        <v>-54</v>
      </c>
      <c r="AA71" s="282">
        <f>'Table 5C3 - LA Connections  '!AO70</f>
        <v>44</v>
      </c>
      <c r="AB71" s="306">
        <f t="shared" ref="AB71:AB74" si="5">SUM(P71:AA71)</f>
        <v>1171473</v>
      </c>
      <c r="AC71" s="256"/>
      <c r="AI71"/>
      <c r="AR71"/>
    </row>
    <row r="72" spans="1:44">
      <c r="A72" s="287">
        <v>67</v>
      </c>
      <c r="B72" s="288" t="s">
        <v>241</v>
      </c>
      <c r="C72" s="259">
        <f>'Table 2 Distributions &amp; Adjust'!S73</f>
        <v>2591035</v>
      </c>
      <c r="D72" s="260"/>
      <c r="E72" s="260"/>
      <c r="F72" s="260">
        <f>-'Table 5C1 - Type 2s'!AI8</f>
        <v>-741.47499999999968</v>
      </c>
      <c r="G72" s="260"/>
      <c r="H72" s="260"/>
      <c r="I72" s="260"/>
      <c r="J72" s="260"/>
      <c r="K72" s="260"/>
      <c r="L72" s="260"/>
      <c r="M72" s="260">
        <f>-'Table 5C2 - LA Virtual Admy '!AJ71</f>
        <v>-3291</v>
      </c>
      <c r="N72" s="260">
        <f>-'Table 5C3 - LA Connections  '!AJ71</f>
        <v>-1489</v>
      </c>
      <c r="O72" s="260">
        <f>-'Table 5E_OJJ'!R73</f>
        <v>-124</v>
      </c>
      <c r="P72" s="301">
        <f t="shared" si="4"/>
        <v>2585389.5249999999</v>
      </c>
      <c r="Q72" s="260"/>
      <c r="R72" s="260"/>
      <c r="S72" s="260"/>
      <c r="T72" s="260">
        <f>'Table 5C1 - Type 2s'!AN8</f>
        <v>0.21000000000000085</v>
      </c>
      <c r="U72" s="260"/>
      <c r="V72" s="260"/>
      <c r="W72" s="260"/>
      <c r="X72" s="260"/>
      <c r="Y72" s="260"/>
      <c r="Z72" s="260">
        <f>'Table 5C2 - LA Virtual Admy '!AQ71</f>
        <v>-20</v>
      </c>
      <c r="AA72" s="260">
        <f>'Table 5C3 - LA Connections  '!AO71</f>
        <v>-5</v>
      </c>
      <c r="AB72" s="301">
        <f t="shared" si="5"/>
        <v>2585364.7349999999</v>
      </c>
      <c r="AC72" s="256"/>
      <c r="AI72"/>
      <c r="AR72"/>
    </row>
    <row r="73" spans="1:44">
      <c r="A73" s="257">
        <v>68</v>
      </c>
      <c r="B73" s="258" t="s">
        <v>242</v>
      </c>
      <c r="C73" s="259">
        <f>'Table 2 Distributions &amp; Adjust'!S74</f>
        <v>911557</v>
      </c>
      <c r="D73" s="260"/>
      <c r="E73" s="260"/>
      <c r="F73" s="260">
        <f>-'Table 5C1 - Type 2s'!AI9</f>
        <v>295.09375</v>
      </c>
      <c r="G73" s="260"/>
      <c r="H73" s="260"/>
      <c r="I73" s="260"/>
      <c r="J73" s="260"/>
      <c r="K73" s="260"/>
      <c r="L73" s="260"/>
      <c r="M73" s="260">
        <f>-'Table 5C2 - LA Virtual Admy '!AJ72</f>
        <v>-2929</v>
      </c>
      <c r="N73" s="260">
        <f>-'Table 5C3 - LA Connections  '!AJ72</f>
        <v>-598</v>
      </c>
      <c r="O73" s="260">
        <f>-'Table 5E_OJJ'!R74</f>
        <v>0</v>
      </c>
      <c r="P73" s="301">
        <f t="shared" si="4"/>
        <v>908325.09375</v>
      </c>
      <c r="Q73" s="260"/>
      <c r="R73" s="260"/>
      <c r="S73" s="260"/>
      <c r="T73" s="260">
        <f>'Table 5C1 - Type 2s'!AN9</f>
        <v>13.875</v>
      </c>
      <c r="U73" s="260"/>
      <c r="V73" s="260"/>
      <c r="W73" s="260"/>
      <c r="X73" s="260"/>
      <c r="Y73" s="260"/>
      <c r="Z73" s="260">
        <f>'Table 5C2 - LA Virtual Admy '!AQ72</f>
        <v>-29</v>
      </c>
      <c r="AA73" s="260">
        <f>'Table 5C3 - LA Connections  '!AO72</f>
        <v>-4</v>
      </c>
      <c r="AB73" s="301">
        <f t="shared" si="5"/>
        <v>908305.96875</v>
      </c>
      <c r="AC73" s="256"/>
      <c r="AI73"/>
      <c r="AR73"/>
    </row>
    <row r="74" spans="1:44">
      <c r="A74" s="266">
        <v>69</v>
      </c>
      <c r="B74" s="267" t="s">
        <v>243</v>
      </c>
      <c r="C74" s="268">
        <f>'Table 2 Distributions &amp; Adjust'!S75</f>
        <v>2082977</v>
      </c>
      <c r="D74" s="269"/>
      <c r="E74" s="269"/>
      <c r="F74" s="269">
        <f>-'Table 5C1 - Type 2s'!AI10</f>
        <v>-46.549999999999955</v>
      </c>
      <c r="G74" s="269"/>
      <c r="H74" s="269"/>
      <c r="I74" s="269"/>
      <c r="J74" s="269"/>
      <c r="K74" s="269"/>
      <c r="L74" s="269"/>
      <c r="M74" s="269">
        <f>-'Table 5C2 - LA Virtual Admy '!AJ73</f>
        <v>-1963</v>
      </c>
      <c r="N74" s="269">
        <f>-'Table 5C3 - LA Connections  '!AJ73</f>
        <v>1052</v>
      </c>
      <c r="O74" s="269">
        <f>-'Table 5E_OJJ'!R75</f>
        <v>0</v>
      </c>
      <c r="P74" s="302">
        <f t="shared" si="4"/>
        <v>2082019.45</v>
      </c>
      <c r="Q74" s="269"/>
      <c r="R74" s="269"/>
      <c r="S74" s="269"/>
      <c r="T74" s="260">
        <f>'Table 5C1 - Type 2s'!AN10</f>
        <v>3.7200000000000006</v>
      </c>
      <c r="U74" s="269"/>
      <c r="V74" s="269"/>
      <c r="W74" s="269"/>
      <c r="X74" s="269"/>
      <c r="Y74" s="269"/>
      <c r="Z74" s="269">
        <f>'Table 5C2 - LA Virtual Admy '!AQ73</f>
        <v>-11</v>
      </c>
      <c r="AA74" s="269">
        <f>'Table 5C3 - LA Connections  '!AO73</f>
        <v>16</v>
      </c>
      <c r="AB74" s="302">
        <f t="shared" si="5"/>
        <v>2082028.17</v>
      </c>
      <c r="AC74" s="256"/>
      <c r="AI74"/>
      <c r="AR74"/>
    </row>
    <row r="75" spans="1:44" ht="13.5" thickBot="1">
      <c r="A75" s="289"/>
      <c r="B75" s="290" t="s">
        <v>244</v>
      </c>
      <c r="C75" s="307">
        <f t="shared" ref="C75:AC75" si="6">SUM(C6:C74)</f>
        <v>272853161</v>
      </c>
      <c r="D75" s="307">
        <f t="shared" si="6"/>
        <v>-1401027.6500000001</v>
      </c>
      <c r="E75" s="307">
        <f t="shared" si="6"/>
        <v>-10217161.997587141</v>
      </c>
      <c r="F75" s="307">
        <f t="shared" si="6"/>
        <v>-98772.932395833326</v>
      </c>
      <c r="G75" s="307">
        <f t="shared" si="6"/>
        <v>-94045.196874999994</v>
      </c>
      <c r="H75" s="307">
        <f t="shared" si="6"/>
        <v>-127196.3464583333</v>
      </c>
      <c r="I75" s="307">
        <f t="shared" si="6"/>
        <v>-41880.1015625</v>
      </c>
      <c r="J75" s="307">
        <f t="shared" si="6"/>
        <v>0</v>
      </c>
      <c r="K75" s="307">
        <f t="shared" si="6"/>
        <v>-25949.485000000004</v>
      </c>
      <c r="L75" s="307">
        <f t="shared" si="6"/>
        <v>-224128.43906250002</v>
      </c>
      <c r="M75" s="307">
        <f t="shared" si="6"/>
        <v>-498095</v>
      </c>
      <c r="N75" s="307">
        <f t="shared" si="6"/>
        <v>-191726</v>
      </c>
      <c r="O75" s="307">
        <f t="shared" si="6"/>
        <v>-102166</v>
      </c>
      <c r="P75" s="308">
        <f t="shared" si="6"/>
        <v>259831011.85105866</v>
      </c>
      <c r="Q75" s="307">
        <f t="shared" si="6"/>
        <v>13964</v>
      </c>
      <c r="R75" s="307">
        <f t="shared" si="6"/>
        <v>1995</v>
      </c>
      <c r="S75" s="307">
        <f>SUM(S6:S74)</f>
        <v>-24014.65625</v>
      </c>
      <c r="T75" s="307">
        <f t="shared" si="6"/>
        <v>-500.69375000000014</v>
      </c>
      <c r="U75" s="307">
        <f t="shared" si="6"/>
        <v>-446.55750000000012</v>
      </c>
      <c r="V75" s="307">
        <f t="shared" si="6"/>
        <v>-1318.6475</v>
      </c>
      <c r="W75" s="307">
        <f t="shared" si="6"/>
        <v>-377.09375</v>
      </c>
      <c r="X75" s="307">
        <f t="shared" si="6"/>
        <v>-58.06</v>
      </c>
      <c r="Y75" s="307">
        <f t="shared" si="6"/>
        <v>-78.743750000000546</v>
      </c>
      <c r="Z75" s="307">
        <f t="shared" si="6"/>
        <v>-1510</v>
      </c>
      <c r="AA75" s="307">
        <f t="shared" si="6"/>
        <v>-148</v>
      </c>
      <c r="AB75" s="308">
        <f t="shared" si="6"/>
        <v>259818518.39855871</v>
      </c>
      <c r="AC75" s="256">
        <f t="shared" si="6"/>
        <v>0</v>
      </c>
      <c r="AI75"/>
      <c r="AR75"/>
    </row>
    <row r="76" spans="1:44" ht="13.5" hidden="1" thickTop="1">
      <c r="AE76" s="295"/>
      <c r="AF76" s="295"/>
      <c r="AG76" s="295"/>
      <c r="AH76" s="295"/>
      <c r="AI76" s="295"/>
      <c r="AJ76" s="295"/>
      <c r="AK76" s="295"/>
      <c r="AL76" s="295"/>
      <c r="AM76" s="295"/>
      <c r="AP76" s="295"/>
    </row>
    <row r="77" spans="1:44" hidden="1">
      <c r="P77" s="251">
        <f>SUM(C75:O75)</f>
        <v>259831011.85105866</v>
      </c>
      <c r="Q77" s="251"/>
      <c r="R77" s="251"/>
      <c r="AB77" s="251">
        <f>SUM(P75:AA75)</f>
        <v>259818518.39855865</v>
      </c>
    </row>
    <row r="78" spans="1:44" ht="13.5" thickTop="1">
      <c r="AE78" s="251"/>
      <c r="AF78" s="251"/>
      <c r="AG78" s="251"/>
      <c r="AH78" s="251"/>
      <c r="AJ78" s="251"/>
      <c r="AK78" s="251"/>
      <c r="AL78" s="251"/>
      <c r="AM78" s="251"/>
      <c r="AP78" s="251"/>
    </row>
  </sheetData>
  <mergeCells count="28">
    <mergeCell ref="F1:F4"/>
    <mergeCell ref="A1:A4"/>
    <mergeCell ref="B1:B4"/>
    <mergeCell ref="C1:C4"/>
    <mergeCell ref="D1:D4"/>
    <mergeCell ref="E1:E4"/>
    <mergeCell ref="R1:R4"/>
    <mergeCell ref="G1:G4"/>
    <mergeCell ref="H1:H4"/>
    <mergeCell ref="I1:I4"/>
    <mergeCell ref="J1:J4"/>
    <mergeCell ref="K1:K4"/>
    <mergeCell ref="L1:L4"/>
    <mergeCell ref="M1:M4"/>
    <mergeCell ref="N1:N4"/>
    <mergeCell ref="O1:O4"/>
    <mergeCell ref="P1:P4"/>
    <mergeCell ref="Q1:Q4"/>
    <mergeCell ref="Y1:Y4"/>
    <mergeCell ref="Z1:Z4"/>
    <mergeCell ref="AA1:AA4"/>
    <mergeCell ref="AB1:AB4"/>
    <mergeCell ref="S1:S4"/>
    <mergeCell ref="T1:T4"/>
    <mergeCell ref="U1:U4"/>
    <mergeCell ref="V1:V4"/>
    <mergeCell ref="W1:W4"/>
    <mergeCell ref="X1:X4"/>
  </mergeCells>
  <printOptions horizontalCentered="1"/>
  <pageMargins left="0.25" right="0.33" top="1.01" bottom="0.75" header="0.3" footer="0.3"/>
  <pageSetup paperSize="5" scale="75" orientation="portrait" r:id="rId1"/>
  <headerFooter>
    <oddHeader>&amp;L&amp;"Arial,Bold"&amp;14Table 2A-1:  FY2011-12 Budget Letter 
Monthly MFP Transfer Amount (March 2012)</oddHeader>
  </headerFooter>
  <colBreaks count="3" manualBreakCount="3">
    <brk id="8" max="1048575" man="1"/>
    <brk id="16" max="1048575" man="1"/>
    <brk id="22" max="1048575" man="1"/>
  </colBreaks>
</worksheet>
</file>

<file path=xl/worksheets/sheet4.xml><?xml version="1.0" encoding="utf-8"?>
<worksheet xmlns="http://schemas.openxmlformats.org/spreadsheetml/2006/main" xmlns:r="http://schemas.openxmlformats.org/officeDocument/2006/relationships">
  <dimension ref="A1:AR85"/>
  <sheetViews>
    <sheetView view="pageBreakPreview" zoomScale="70" zoomScaleNormal="70" zoomScaleSheetLayoutView="70" workbookViewId="0">
      <pane xSplit="2" ySplit="4" topLeftCell="C5" activePane="bottomRight" state="frozen"/>
      <selection pane="topRight"/>
      <selection pane="bottomLeft"/>
      <selection pane="bottomRight" activeCell="C88" sqref="C88"/>
    </sheetView>
  </sheetViews>
  <sheetFormatPr defaultRowHeight="12.75"/>
  <cols>
    <col min="1" max="1" width="3.42578125" bestFit="1" customWidth="1"/>
    <col min="2" max="2" width="18.7109375" bestFit="1" customWidth="1"/>
    <col min="3" max="3" width="17.7109375" customWidth="1"/>
    <col min="4" max="4" width="14.42578125" bestFit="1" customWidth="1"/>
    <col min="5" max="5" width="15.7109375" customWidth="1"/>
    <col min="6" max="6" width="15.28515625" customWidth="1"/>
    <col min="7" max="7" width="14.7109375" customWidth="1"/>
    <col min="8" max="8" width="14.42578125" customWidth="1"/>
    <col min="9" max="9" width="14.28515625" customWidth="1"/>
    <col min="10" max="10" width="11.7109375" hidden="1" customWidth="1"/>
    <col min="11" max="11" width="14.42578125" customWidth="1"/>
    <col min="12" max="12" width="15.42578125" bestFit="1" customWidth="1"/>
    <col min="13" max="13" width="14.85546875" bestFit="1" customWidth="1"/>
    <col min="14" max="14" width="14.7109375" customWidth="1"/>
    <col min="15" max="15" width="14.42578125" bestFit="1" customWidth="1"/>
    <col min="16" max="16" width="17.85546875" customWidth="1"/>
    <col min="17" max="18" width="14" hidden="1" customWidth="1"/>
    <col min="19" max="19" width="15.28515625" hidden="1" customWidth="1"/>
    <col min="20" max="20" width="15.42578125" hidden="1" customWidth="1"/>
    <col min="21" max="21" width="15.28515625" hidden="1" customWidth="1"/>
    <col min="22" max="22" width="15" hidden="1" customWidth="1"/>
    <col min="23" max="23" width="14.85546875" hidden="1" customWidth="1"/>
    <col min="24" max="24" width="17.7109375" hidden="1" customWidth="1"/>
    <col min="25" max="25" width="15.42578125" hidden="1" customWidth="1"/>
    <col min="26" max="26" width="14" hidden="1" customWidth="1"/>
    <col min="27" max="27" width="14.42578125" hidden="1" customWidth="1"/>
    <col min="28" max="28" width="17" hidden="1" customWidth="1"/>
    <col min="29" max="29" width="4.28515625" hidden="1" customWidth="1"/>
    <col min="35" max="35" width="9.140625" style="251"/>
    <col min="44" max="44" width="9.140625" style="256"/>
  </cols>
  <sheetData>
    <row r="1" spans="1:44" ht="21" customHeight="1">
      <c r="A1" s="1651" t="s">
        <v>248</v>
      </c>
      <c r="B1" s="1651" t="s">
        <v>158</v>
      </c>
      <c r="C1" s="1634" t="s">
        <v>275</v>
      </c>
      <c r="D1" s="1652" t="s">
        <v>276</v>
      </c>
      <c r="E1" s="1652" t="s">
        <v>277</v>
      </c>
      <c r="F1" s="1652" t="s">
        <v>278</v>
      </c>
      <c r="G1" s="1652" t="s">
        <v>279</v>
      </c>
      <c r="H1" s="1652" t="s">
        <v>280</v>
      </c>
      <c r="I1" s="1652" t="s">
        <v>281</v>
      </c>
      <c r="J1" s="1652" t="s">
        <v>256</v>
      </c>
      <c r="K1" s="1652" t="s">
        <v>282</v>
      </c>
      <c r="L1" s="1652" t="s">
        <v>283</v>
      </c>
      <c r="M1" s="1652" t="s">
        <v>284</v>
      </c>
      <c r="N1" s="1652" t="s">
        <v>285</v>
      </c>
      <c r="O1" s="1667" t="s">
        <v>286</v>
      </c>
      <c r="P1" s="1664" t="s">
        <v>262</v>
      </c>
      <c r="Q1" s="1652" t="s">
        <v>287</v>
      </c>
      <c r="R1" s="1652" t="s">
        <v>288</v>
      </c>
      <c r="S1" s="1652" t="s">
        <v>289</v>
      </c>
      <c r="T1" s="1652" t="s">
        <v>290</v>
      </c>
      <c r="U1" s="1652" t="s">
        <v>291</v>
      </c>
      <c r="V1" s="1652" t="s">
        <v>292</v>
      </c>
      <c r="W1" s="1652" t="s">
        <v>293</v>
      </c>
      <c r="X1" s="1652" t="s">
        <v>294</v>
      </c>
      <c r="Y1" s="1652" t="s">
        <v>295</v>
      </c>
      <c r="Z1" s="1652" t="s">
        <v>296</v>
      </c>
      <c r="AA1" s="1652" t="s">
        <v>297</v>
      </c>
      <c r="AB1" s="1664" t="s">
        <v>298</v>
      </c>
      <c r="AC1" s="256"/>
      <c r="AI1"/>
      <c r="AR1"/>
    </row>
    <row r="2" spans="1:44">
      <c r="A2" s="1649"/>
      <c r="B2" s="1649"/>
      <c r="C2" s="1634"/>
      <c r="D2" s="1653"/>
      <c r="E2" s="1653"/>
      <c r="F2" s="1653"/>
      <c r="G2" s="1653"/>
      <c r="H2" s="1653"/>
      <c r="I2" s="1653"/>
      <c r="J2" s="1653"/>
      <c r="K2" s="1653"/>
      <c r="L2" s="1653"/>
      <c r="M2" s="1653"/>
      <c r="N2" s="1653"/>
      <c r="O2" s="1668"/>
      <c r="P2" s="1665"/>
      <c r="Q2" s="1653"/>
      <c r="R2" s="1653"/>
      <c r="S2" s="1653"/>
      <c r="T2" s="1653"/>
      <c r="U2" s="1653"/>
      <c r="V2" s="1653"/>
      <c r="W2" s="1653"/>
      <c r="X2" s="1653"/>
      <c r="Y2" s="1653"/>
      <c r="Z2" s="1653"/>
      <c r="AA2" s="1653"/>
      <c r="AB2" s="1665"/>
      <c r="AC2" s="256"/>
      <c r="AI2"/>
      <c r="AR2"/>
    </row>
    <row r="3" spans="1:44" ht="24" customHeight="1">
      <c r="A3" s="1649"/>
      <c r="B3" s="1649"/>
      <c r="C3" s="1634"/>
      <c r="D3" s="1653"/>
      <c r="E3" s="1653"/>
      <c r="F3" s="1653"/>
      <c r="G3" s="1653"/>
      <c r="H3" s="1653"/>
      <c r="I3" s="1653"/>
      <c r="J3" s="1653"/>
      <c r="K3" s="1653"/>
      <c r="L3" s="1653"/>
      <c r="M3" s="1653"/>
      <c r="N3" s="1653"/>
      <c r="O3" s="1668"/>
      <c r="P3" s="1665"/>
      <c r="Q3" s="1653"/>
      <c r="R3" s="1653"/>
      <c r="S3" s="1653"/>
      <c r="T3" s="1653"/>
      <c r="U3" s="1653"/>
      <c r="V3" s="1653"/>
      <c r="W3" s="1653"/>
      <c r="X3" s="1653"/>
      <c r="Y3" s="1653"/>
      <c r="Z3" s="1653"/>
      <c r="AA3" s="1653"/>
      <c r="AB3" s="1665"/>
      <c r="AC3" s="296"/>
      <c r="AI3"/>
      <c r="AR3"/>
    </row>
    <row r="4" spans="1:44" ht="109.5" customHeight="1">
      <c r="A4" s="1650"/>
      <c r="B4" s="1650"/>
      <c r="C4" s="1634"/>
      <c r="D4" s="1654"/>
      <c r="E4" s="1654"/>
      <c r="F4" s="1654"/>
      <c r="G4" s="1654"/>
      <c r="H4" s="1654"/>
      <c r="I4" s="1654"/>
      <c r="J4" s="1654"/>
      <c r="K4" s="1654"/>
      <c r="L4" s="1654"/>
      <c r="M4" s="1654"/>
      <c r="N4" s="1654"/>
      <c r="O4" s="1669"/>
      <c r="P4" s="1666"/>
      <c r="Q4" s="1654"/>
      <c r="R4" s="1654"/>
      <c r="S4" s="1654"/>
      <c r="T4" s="1654"/>
      <c r="U4" s="1654"/>
      <c r="V4" s="1654"/>
      <c r="W4" s="1654"/>
      <c r="X4" s="1654"/>
      <c r="Y4" s="1654"/>
      <c r="Z4" s="1654"/>
      <c r="AA4" s="1654"/>
      <c r="AB4" s="1666"/>
      <c r="AC4" s="296"/>
      <c r="AI4"/>
      <c r="AR4"/>
    </row>
    <row r="5" spans="1:44" s="300" customFormat="1">
      <c r="A5" s="297"/>
      <c r="B5" s="298"/>
      <c r="C5" s="299">
        <v>1</v>
      </c>
      <c r="D5" s="299">
        <f t="shared" ref="D5:AC5" si="0">C5+1</f>
        <v>2</v>
      </c>
      <c r="E5" s="299">
        <f t="shared" si="0"/>
        <v>3</v>
      </c>
      <c r="F5" s="299">
        <f t="shared" si="0"/>
        <v>4</v>
      </c>
      <c r="G5" s="299">
        <f t="shared" si="0"/>
        <v>5</v>
      </c>
      <c r="H5" s="299">
        <f t="shared" si="0"/>
        <v>6</v>
      </c>
      <c r="I5" s="299">
        <f t="shared" si="0"/>
        <v>7</v>
      </c>
      <c r="J5" s="299">
        <f t="shared" si="0"/>
        <v>8</v>
      </c>
      <c r="K5" s="299">
        <f t="shared" si="0"/>
        <v>9</v>
      </c>
      <c r="L5" s="299">
        <f t="shared" si="0"/>
        <v>10</v>
      </c>
      <c r="M5" s="299">
        <f t="shared" si="0"/>
        <v>11</v>
      </c>
      <c r="N5" s="299">
        <f t="shared" si="0"/>
        <v>12</v>
      </c>
      <c r="O5" s="299">
        <f t="shared" si="0"/>
        <v>13</v>
      </c>
      <c r="P5" s="299">
        <f t="shared" si="0"/>
        <v>14</v>
      </c>
      <c r="Q5" s="299">
        <f t="shared" si="0"/>
        <v>15</v>
      </c>
      <c r="R5" s="299">
        <f t="shared" si="0"/>
        <v>16</v>
      </c>
      <c r="S5" s="299">
        <f t="shared" si="0"/>
        <v>17</v>
      </c>
      <c r="T5" s="299">
        <f>S5+1</f>
        <v>18</v>
      </c>
      <c r="U5" s="299">
        <f>T5+1</f>
        <v>19</v>
      </c>
      <c r="V5" s="299">
        <f>U5+1</f>
        <v>20</v>
      </c>
      <c r="W5" s="299">
        <f t="shared" ref="W5:AB5" si="1">V5+1</f>
        <v>21</v>
      </c>
      <c r="X5" s="299">
        <f t="shared" si="1"/>
        <v>22</v>
      </c>
      <c r="Y5" s="299">
        <f t="shared" si="1"/>
        <v>23</v>
      </c>
      <c r="Z5" s="299">
        <f t="shared" si="1"/>
        <v>24</v>
      </c>
      <c r="AA5" s="299">
        <f t="shared" si="1"/>
        <v>25</v>
      </c>
      <c r="AB5" s="299">
        <f t="shared" si="1"/>
        <v>26</v>
      </c>
      <c r="AC5" s="299">
        <f t="shared" si="0"/>
        <v>27</v>
      </c>
    </row>
    <row r="6" spans="1:44">
      <c r="A6" s="257">
        <v>1</v>
      </c>
      <c r="B6" s="258" t="s">
        <v>179</v>
      </c>
      <c r="C6" s="259">
        <f>'Table 2 Distributions &amp; Adjust'!U7</f>
        <v>50890163</v>
      </c>
      <c r="D6" s="260"/>
      <c r="E6" s="260"/>
      <c r="F6" s="260"/>
      <c r="G6" s="260"/>
      <c r="H6" s="260"/>
      <c r="I6" s="260"/>
      <c r="J6" s="260"/>
      <c r="K6" s="260"/>
      <c r="L6" s="260"/>
      <c r="M6" s="260">
        <f>-'Table 5C2 - LA Virtual Admy '!AC5-'Table 5C2 - LA Virtual Admy '!AF5</f>
        <v>-43783.199999999997</v>
      </c>
      <c r="N6" s="260">
        <f>-'Table 5C3 - LA Connections  '!AC5-'Table 5C3 - LA Connections  '!AF5</f>
        <v>-17330.849999999999</v>
      </c>
      <c r="O6" s="260">
        <f>-'Table 5E_OJJ'!O7</f>
        <v>-3054.7517391180272</v>
      </c>
      <c r="P6" s="301">
        <f>SUM(C6:O6)</f>
        <v>50825994.198260881</v>
      </c>
      <c r="Q6" s="260"/>
      <c r="R6" s="260"/>
      <c r="S6" s="260"/>
      <c r="T6" s="260"/>
      <c r="U6" s="260"/>
      <c r="V6" s="260"/>
      <c r="W6" s="260"/>
      <c r="X6" s="260"/>
      <c r="Y6" s="260"/>
      <c r="Z6" s="260">
        <f>'Table 5C2 - LA Virtual Admy '!AD5</f>
        <v>-109</v>
      </c>
      <c r="AA6" s="260">
        <f>'Table 5C3 - LA Connections  '!AD5</f>
        <v>-43</v>
      </c>
      <c r="AB6" s="301">
        <f>SUM(P6:AA6)</f>
        <v>50825842.198260881</v>
      </c>
      <c r="AC6" s="256"/>
      <c r="AI6"/>
      <c r="AR6"/>
    </row>
    <row r="7" spans="1:44">
      <c r="A7" s="257">
        <v>2</v>
      </c>
      <c r="B7" s="258" t="s">
        <v>180</v>
      </c>
      <c r="C7" s="259">
        <f>'Table 2 Distributions &amp; Adjust'!U8</f>
        <v>27754592</v>
      </c>
      <c r="D7" s="260"/>
      <c r="E7" s="260"/>
      <c r="F7" s="260"/>
      <c r="G7" s="260"/>
      <c r="H7" s="260"/>
      <c r="I7" s="260"/>
      <c r="J7" s="260"/>
      <c r="K7" s="260"/>
      <c r="L7" s="260"/>
      <c r="M7" s="260">
        <f>-'Table 5C2 - LA Virtual Admy '!AC6-'Table 5C2 - LA Virtual Admy '!AF6</f>
        <v>-23085</v>
      </c>
      <c r="N7" s="260">
        <f>-'Table 5C3 - LA Connections  '!AC6-'Table 5C3 - LA Connections  '!AF6</f>
        <v>-3462.75</v>
      </c>
      <c r="O7" s="260">
        <f>-'Table 5E_OJJ'!O8</f>
        <v>0</v>
      </c>
      <c r="P7" s="301">
        <f t="shared" ref="P7:P70" si="2">SUM(C7:O7)</f>
        <v>27728044.25</v>
      </c>
      <c r="Q7" s="260"/>
      <c r="R7" s="260"/>
      <c r="S7" s="260"/>
      <c r="T7" s="260"/>
      <c r="U7" s="260"/>
      <c r="V7" s="260"/>
      <c r="W7" s="260"/>
      <c r="X7" s="260"/>
      <c r="Y7" s="260"/>
      <c r="Z7" s="260">
        <f>'Table 5C2 - LA Virtual Admy '!AD6</f>
        <v>-58</v>
      </c>
      <c r="AA7" s="260">
        <f>'Table 5C3 - LA Connections  '!AD6</f>
        <v>-9</v>
      </c>
      <c r="AB7" s="301">
        <f t="shared" ref="AB7:AB70" si="3">SUM(P7:AA7)</f>
        <v>27727977.25</v>
      </c>
      <c r="AC7" s="256"/>
      <c r="AI7"/>
      <c r="AR7"/>
    </row>
    <row r="8" spans="1:44">
      <c r="A8" s="257">
        <v>3</v>
      </c>
      <c r="B8" s="258" t="s">
        <v>181</v>
      </c>
      <c r="C8" s="259">
        <f>'Table 2 Distributions &amp; Adjust'!U9</f>
        <v>94683472</v>
      </c>
      <c r="D8" s="260"/>
      <c r="E8" s="260"/>
      <c r="F8" s="260"/>
      <c r="G8" s="260"/>
      <c r="H8" s="260"/>
      <c r="I8" s="260"/>
      <c r="J8" s="260"/>
      <c r="K8" s="260"/>
      <c r="L8" s="260"/>
      <c r="M8" s="260">
        <f>-'Table 5C2 - LA Virtual Admy '!AC7-'Table 5C2 - LA Virtual Admy '!AF7</f>
        <v>-118015.65000000002</v>
      </c>
      <c r="N8" s="260">
        <f>-'Table 5C3 - LA Connections  '!AC7-'Table 5C3 - LA Connections  '!AF7</f>
        <v>-47620.350000000013</v>
      </c>
      <c r="O8" s="260">
        <f>-'Table 5E_OJJ'!O9</f>
        <v>-3673.8976640969149</v>
      </c>
      <c r="P8" s="301">
        <f t="shared" si="2"/>
        <v>94514162.1023359</v>
      </c>
      <c r="Q8" s="260"/>
      <c r="R8" s="260"/>
      <c r="S8" s="260"/>
      <c r="T8" s="260"/>
      <c r="U8" s="260"/>
      <c r="V8" s="260"/>
      <c r="W8" s="260"/>
      <c r="X8" s="260"/>
      <c r="Y8" s="260"/>
      <c r="Z8" s="260">
        <f>'Table 5C2 - LA Virtual Admy '!AD7</f>
        <v>-295</v>
      </c>
      <c r="AA8" s="260">
        <f>'Table 5C3 - LA Connections  '!AD7</f>
        <v>-119</v>
      </c>
      <c r="AB8" s="301">
        <f t="shared" si="3"/>
        <v>94513748.1023359</v>
      </c>
      <c r="AC8" s="256"/>
      <c r="AI8"/>
      <c r="AR8"/>
    </row>
    <row r="9" spans="1:44">
      <c r="A9" s="257">
        <v>4</v>
      </c>
      <c r="B9" s="258" t="s">
        <v>182</v>
      </c>
      <c r="C9" s="259">
        <f>'Table 2 Distributions &amp; Adjust'!U10</f>
        <v>23499932</v>
      </c>
      <c r="D9" s="260"/>
      <c r="E9" s="260"/>
      <c r="F9" s="260"/>
      <c r="G9" s="260"/>
      <c r="H9" s="260"/>
      <c r="I9" s="260"/>
      <c r="J9" s="260"/>
      <c r="K9" s="260"/>
      <c r="L9" s="260"/>
      <c r="M9" s="260">
        <f>-'Table 5C2 - LA Virtual Admy '!AC8-'Table 5C2 - LA Virtual Admy '!AF8</f>
        <v>-18690.75</v>
      </c>
      <c r="N9" s="260">
        <f>-'Table 5C3 - LA Connections  '!AC8-'Table 5C3 - LA Connections  '!AF8</f>
        <v>-10064.25</v>
      </c>
      <c r="O9" s="260">
        <f>-'Table 5E_OJJ'!O10</f>
        <v>-6869.4436310956489</v>
      </c>
      <c r="P9" s="301">
        <f t="shared" si="2"/>
        <v>23464307.556368906</v>
      </c>
      <c r="Q9" s="260"/>
      <c r="R9" s="260"/>
      <c r="S9" s="260"/>
      <c r="T9" s="260"/>
      <c r="U9" s="260"/>
      <c r="V9" s="260"/>
      <c r="W9" s="260"/>
      <c r="X9" s="260"/>
      <c r="Y9" s="260"/>
      <c r="Z9" s="260">
        <f>'Table 5C2 - LA Virtual Admy '!AD8</f>
        <v>-47</v>
      </c>
      <c r="AA9" s="260">
        <f>'Table 5C3 - LA Connections  '!AD8</f>
        <v>-25</v>
      </c>
      <c r="AB9" s="301">
        <f t="shared" si="3"/>
        <v>23464235.556368906</v>
      </c>
      <c r="AC9" s="256"/>
      <c r="AI9"/>
      <c r="AR9"/>
    </row>
    <row r="10" spans="1:44">
      <c r="A10" s="266">
        <v>5</v>
      </c>
      <c r="B10" s="267" t="s">
        <v>183</v>
      </c>
      <c r="C10" s="268">
        <f>'Table 2 Distributions &amp; Adjust'!U11</f>
        <v>31011394</v>
      </c>
      <c r="D10" s="269"/>
      <c r="E10" s="269"/>
      <c r="F10" s="269"/>
      <c r="G10" s="269"/>
      <c r="H10" s="269"/>
      <c r="I10" s="269"/>
      <c r="J10" s="269"/>
      <c r="K10" s="269"/>
      <c r="L10" s="269"/>
      <c r="M10" s="269">
        <f>-'Table 5C2 - LA Virtual Admy '!AC9-'Table 5C2 - LA Virtual Admy '!AF9</f>
        <v>-20301.75</v>
      </c>
      <c r="N10" s="269">
        <f>-'Table 5C3 - LA Connections  '!AC9-'Table 5C3 - LA Connections  '!AF9</f>
        <v>-5220.45</v>
      </c>
      <c r="O10" s="269">
        <f>-'Table 5E_OJJ'!O11</f>
        <v>-8130.9579986506587</v>
      </c>
      <c r="P10" s="302">
        <f t="shared" si="2"/>
        <v>30977740.842001349</v>
      </c>
      <c r="Q10" s="269"/>
      <c r="R10" s="269"/>
      <c r="S10" s="269"/>
      <c r="T10" s="269"/>
      <c r="U10" s="269"/>
      <c r="V10" s="269"/>
      <c r="W10" s="269"/>
      <c r="X10" s="269"/>
      <c r="Y10" s="269"/>
      <c r="Z10" s="269">
        <f>'Table 5C2 - LA Virtual Admy '!AD9</f>
        <v>-51</v>
      </c>
      <c r="AA10" s="269">
        <f>'Table 5C3 - LA Connections  '!AD9</f>
        <v>-13</v>
      </c>
      <c r="AB10" s="302">
        <f t="shared" si="3"/>
        <v>30977676.842001349</v>
      </c>
      <c r="AC10" s="256"/>
      <c r="AI10"/>
      <c r="AR10"/>
    </row>
    <row r="11" spans="1:44">
      <c r="A11" s="257">
        <v>6</v>
      </c>
      <c r="B11" s="258" t="s">
        <v>184</v>
      </c>
      <c r="C11" s="259">
        <f>'Table 2 Distributions &amp; Adjust'!U12</f>
        <v>37070887</v>
      </c>
      <c r="D11" s="260"/>
      <c r="E11" s="260"/>
      <c r="F11" s="260"/>
      <c r="G11" s="260"/>
      <c r="H11" s="260"/>
      <c r="I11" s="260"/>
      <c r="J11" s="260"/>
      <c r="K11" s="260"/>
      <c r="L11" s="260"/>
      <c r="M11" s="260">
        <f>-'Table 5C2 - LA Virtual Admy '!AC10-'Table 5C2 - LA Virtual Admy '!AF10</f>
        <v>-45485.55</v>
      </c>
      <c r="N11" s="260">
        <f>-'Table 5C3 - LA Connections  '!AC10-'Table 5C3 - LA Connections  '!AF10</f>
        <v>-11026.800000000003</v>
      </c>
      <c r="O11" s="260">
        <f>-'Table 5E_OJJ'!O12</f>
        <v>-3449.7021668312586</v>
      </c>
      <c r="P11" s="301">
        <f t="shared" si="2"/>
        <v>37010924.947833173</v>
      </c>
      <c r="Q11" s="260"/>
      <c r="R11" s="260"/>
      <c r="S11" s="260"/>
      <c r="T11" s="260"/>
      <c r="U11" s="260"/>
      <c r="V11" s="260"/>
      <c r="W11" s="260"/>
      <c r="X11" s="260"/>
      <c r="Y11" s="260"/>
      <c r="Z11" s="260">
        <f>'Table 5C2 - LA Virtual Admy '!AD10</f>
        <v>-114</v>
      </c>
      <c r="AA11" s="260">
        <f>'Table 5C3 - LA Connections  '!AD10</f>
        <v>-28</v>
      </c>
      <c r="AB11" s="301">
        <f t="shared" si="3"/>
        <v>37010782.947833173</v>
      </c>
      <c r="AC11" s="256"/>
      <c r="AI11"/>
      <c r="AR11"/>
    </row>
    <row r="12" spans="1:44">
      <c r="A12" s="257">
        <v>7</v>
      </c>
      <c r="B12" s="258" t="s">
        <v>185</v>
      </c>
      <c r="C12" s="259">
        <f>'Table 2 Distributions &amp; Adjust'!U13</f>
        <v>5057562</v>
      </c>
      <c r="D12" s="260"/>
      <c r="E12" s="260"/>
      <c r="F12" s="260"/>
      <c r="G12" s="260"/>
      <c r="H12" s="260"/>
      <c r="I12" s="260"/>
      <c r="J12" s="260"/>
      <c r="K12" s="260"/>
      <c r="L12" s="260"/>
      <c r="M12" s="260">
        <f>-'Table 5C2 - LA Virtual Admy '!AC11-'Table 5C2 - LA Virtual Admy '!AF11</f>
        <v>-79436.7</v>
      </c>
      <c r="N12" s="260">
        <f>-'Table 5C3 - LA Connections  '!AC11-'Table 5C3 - LA Connections  '!AF11</f>
        <v>-62414.55</v>
      </c>
      <c r="O12" s="260">
        <f>-'Table 5E_OJJ'!O13</f>
        <v>-1584.8800007123693</v>
      </c>
      <c r="P12" s="301">
        <f t="shared" si="2"/>
        <v>4914125.8699992876</v>
      </c>
      <c r="Q12" s="260"/>
      <c r="R12" s="260"/>
      <c r="S12" s="260"/>
      <c r="T12" s="260"/>
      <c r="U12" s="260"/>
      <c r="V12" s="260"/>
      <c r="W12" s="260"/>
      <c r="X12" s="260"/>
      <c r="Y12" s="260"/>
      <c r="Z12" s="260">
        <f>'Table 5C2 - LA Virtual Admy '!AD11</f>
        <v>-199</v>
      </c>
      <c r="AA12" s="260">
        <f>'Table 5C3 - LA Connections  '!AD11</f>
        <v>-156</v>
      </c>
      <c r="AB12" s="301">
        <f t="shared" si="3"/>
        <v>4913770.8699992876</v>
      </c>
      <c r="AC12" s="256"/>
      <c r="AI12"/>
      <c r="AR12"/>
    </row>
    <row r="13" spans="1:44">
      <c r="A13" s="257">
        <v>8</v>
      </c>
      <c r="B13" s="258" t="s">
        <v>186</v>
      </c>
      <c r="C13" s="259">
        <f>'Table 2 Distributions &amp; Adjust'!U14</f>
        <v>98094766</v>
      </c>
      <c r="D13" s="260"/>
      <c r="E13" s="260"/>
      <c r="F13" s="260"/>
      <c r="G13" s="260"/>
      <c r="H13" s="260"/>
      <c r="I13" s="260"/>
      <c r="J13" s="260"/>
      <c r="K13" s="260"/>
      <c r="L13" s="260"/>
      <c r="M13" s="260">
        <f>-'Table 5C2 - LA Virtual Admy '!AC12-'Table 5C2 - LA Virtual Admy '!AF12</f>
        <v>-194844.15000000002</v>
      </c>
      <c r="N13" s="260">
        <f>-'Table 5C3 - LA Connections  '!AC12-'Table 5C3 - LA Connections  '!AF12</f>
        <v>-73307.700000000012</v>
      </c>
      <c r="O13" s="260">
        <f>-'Table 5E_OJJ'!O14</f>
        <v>-3936.1843817274153</v>
      </c>
      <c r="P13" s="301">
        <f t="shared" si="2"/>
        <v>97822677.965618268</v>
      </c>
      <c r="Q13" s="260"/>
      <c r="R13" s="260"/>
      <c r="S13" s="260"/>
      <c r="T13" s="260"/>
      <c r="U13" s="260"/>
      <c r="V13" s="260"/>
      <c r="W13" s="260"/>
      <c r="X13" s="260"/>
      <c r="Y13" s="260"/>
      <c r="Z13" s="260">
        <f>'Table 5C2 - LA Virtual Admy '!AD12</f>
        <v>-487</v>
      </c>
      <c r="AA13" s="260">
        <f>'Table 5C3 - LA Connections  '!AD12</f>
        <v>-183</v>
      </c>
      <c r="AB13" s="301">
        <f t="shared" si="3"/>
        <v>97822007.965618268</v>
      </c>
      <c r="AC13" s="256"/>
      <c r="AI13"/>
      <c r="AR13"/>
    </row>
    <row r="14" spans="1:44">
      <c r="A14" s="257">
        <v>9</v>
      </c>
      <c r="B14" s="258" t="s">
        <v>77</v>
      </c>
      <c r="C14" s="259">
        <f>'Table 2 Distributions &amp; Adjust'!U15</f>
        <v>208169109</v>
      </c>
      <c r="D14" s="260">
        <f>-'Table 5B2_RSD_LA'!AE30-'Table 5B2_RSD_LA'!AJ30</f>
        <v>-2545279.2599999998</v>
      </c>
      <c r="E14" s="260"/>
      <c r="F14" s="260"/>
      <c r="G14" s="260"/>
      <c r="H14" s="260"/>
      <c r="I14" s="260"/>
      <c r="J14" s="260"/>
      <c r="K14" s="260"/>
      <c r="L14" s="260"/>
      <c r="M14" s="260">
        <f>-'Table 5C2 - LA Virtual Admy '!AC13-'Table 5C2 - LA Virtual Admy '!AF13</f>
        <v>-389529</v>
      </c>
      <c r="N14" s="260">
        <f>-'Table 5C3 - LA Connections  '!AC13-'Table 5C3 - LA Connections  '!AF13</f>
        <v>-152514</v>
      </c>
      <c r="O14" s="260">
        <f>-'Table 5E_OJJ'!O15</f>
        <v>-123977.11829847221</v>
      </c>
      <c r="P14" s="301">
        <f t="shared" si="2"/>
        <v>204957809.62170154</v>
      </c>
      <c r="Q14" s="260">
        <f>'Table 5B2_RSD_LA'!AF30</f>
        <v>-33092.29</v>
      </c>
      <c r="R14" s="260">
        <f>'Table 5B2_RSD_LA'!AG30</f>
        <v>-4727.47</v>
      </c>
      <c r="S14" s="260"/>
      <c r="T14" s="260"/>
      <c r="U14" s="260"/>
      <c r="V14" s="260"/>
      <c r="W14" s="260"/>
      <c r="X14" s="260"/>
      <c r="Y14" s="260"/>
      <c r="Z14" s="260">
        <f>'Table 5C2 - LA Virtual Admy '!AD13</f>
        <v>-974</v>
      </c>
      <c r="AA14" s="260">
        <f>'Table 5C3 - LA Connections  '!AD13</f>
        <v>-381</v>
      </c>
      <c r="AB14" s="301">
        <f t="shared" si="3"/>
        <v>204918634.86170155</v>
      </c>
      <c r="AC14" s="256"/>
      <c r="AI14"/>
      <c r="AR14"/>
    </row>
    <row r="15" spans="1:44">
      <c r="A15" s="266">
        <v>10</v>
      </c>
      <c r="B15" s="267" t="s">
        <v>187</v>
      </c>
      <c r="C15" s="268">
        <f>'Table 2 Distributions &amp; Adjust'!U16</f>
        <v>152310893</v>
      </c>
      <c r="D15" s="269"/>
      <c r="E15" s="269"/>
      <c r="F15" s="269"/>
      <c r="G15" s="269"/>
      <c r="H15" s="269"/>
      <c r="I15" s="269"/>
      <c r="J15" s="269"/>
      <c r="K15" s="269"/>
      <c r="L15" s="269">
        <f>-'Table 5C1 - Type 2s'!AB91-'Table 5C1 - Type 2s'!AE91</f>
        <v>-2633097.5</v>
      </c>
      <c r="M15" s="269">
        <f>-'Table 5C2 - LA Virtual Admy '!AC14-'Table 5C2 - LA Virtual Admy '!AF14</f>
        <v>-241662.15000000002</v>
      </c>
      <c r="N15" s="269">
        <f>-'Table 5C3 - LA Connections  '!AC14-'Table 5C3 - LA Connections  '!AF14</f>
        <v>-101160.90000000001</v>
      </c>
      <c r="O15" s="269">
        <f>-'Table 5E_OJJ'!O16</f>
        <v>-19038.688526387105</v>
      </c>
      <c r="P15" s="302">
        <f t="shared" si="2"/>
        <v>149315933.7614736</v>
      </c>
      <c r="Q15" s="269"/>
      <c r="R15" s="269"/>
      <c r="S15" s="269"/>
      <c r="T15" s="269"/>
      <c r="U15" s="269"/>
      <c r="V15" s="269"/>
      <c r="W15" s="269"/>
      <c r="X15" s="269"/>
      <c r="Y15" s="269">
        <f>'Table 5C1 - Type 2s'!AC91</f>
        <v>-6582.7437500000005</v>
      </c>
      <c r="Z15" s="269">
        <f>'Table 5C2 - LA Virtual Admy '!AD14</f>
        <v>-604</v>
      </c>
      <c r="AA15" s="269">
        <f>'Table 5C3 - LA Connections  '!AD14</f>
        <v>-253</v>
      </c>
      <c r="AB15" s="302">
        <f t="shared" si="3"/>
        <v>149308494.01772359</v>
      </c>
      <c r="AC15" s="256"/>
      <c r="AI15"/>
      <c r="AR15"/>
    </row>
    <row r="16" spans="1:44">
      <c r="A16" s="257">
        <v>11</v>
      </c>
      <c r="B16" s="258" t="s">
        <v>188</v>
      </c>
      <c r="C16" s="259">
        <f>'Table 2 Distributions &amp; Adjust'!U17</f>
        <v>11468467</v>
      </c>
      <c r="D16" s="260"/>
      <c r="E16" s="260"/>
      <c r="F16" s="260"/>
      <c r="G16" s="260"/>
      <c r="H16" s="260"/>
      <c r="I16" s="260"/>
      <c r="J16" s="260"/>
      <c r="K16" s="260"/>
      <c r="L16" s="260"/>
      <c r="M16" s="260">
        <f>-'Table 5C2 - LA Virtual Admy '!AC15-'Table 5C2 - LA Virtual Admy '!AF15</f>
        <v>-7420.5</v>
      </c>
      <c r="N16" s="260">
        <f>-'Table 5C3 - LA Connections  '!AC15-'Table 5C3 - LA Connections  '!AF15</f>
        <v>0</v>
      </c>
      <c r="O16" s="260">
        <f>-'Table 5E_OJJ'!O17</f>
        <v>0</v>
      </c>
      <c r="P16" s="301">
        <f t="shared" si="2"/>
        <v>11461046.5</v>
      </c>
      <c r="Q16" s="260"/>
      <c r="R16" s="260"/>
      <c r="S16" s="260"/>
      <c r="T16" s="260"/>
      <c r="U16" s="260"/>
      <c r="V16" s="260"/>
      <c r="W16" s="260"/>
      <c r="X16" s="260"/>
      <c r="Y16" s="260"/>
      <c r="Z16" s="260">
        <f>'Table 5C2 - LA Virtual Admy '!AD15</f>
        <v>-19</v>
      </c>
      <c r="AA16" s="260">
        <f>'Table 5C3 - LA Connections  '!AD15</f>
        <v>0</v>
      </c>
      <c r="AB16" s="301">
        <f t="shared" si="3"/>
        <v>11461027.5</v>
      </c>
      <c r="AC16" s="256"/>
      <c r="AI16"/>
      <c r="AR16"/>
    </row>
    <row r="17" spans="1:44">
      <c r="A17" s="257">
        <v>12</v>
      </c>
      <c r="B17" s="258" t="s">
        <v>189</v>
      </c>
      <c r="C17" s="259">
        <f>'Table 2 Distributions &amp; Adjust'!U18</f>
        <v>3350267</v>
      </c>
      <c r="D17" s="260"/>
      <c r="E17" s="260"/>
      <c r="F17" s="260"/>
      <c r="G17" s="260"/>
      <c r="H17" s="260"/>
      <c r="I17" s="260"/>
      <c r="J17" s="260"/>
      <c r="K17" s="260"/>
      <c r="L17" s="260"/>
      <c r="M17" s="260">
        <f>-'Table 5C2 - LA Virtual Admy '!AC16-'Table 5C2 - LA Virtual Admy '!AF16</f>
        <v>0</v>
      </c>
      <c r="N17" s="260">
        <f>-'Table 5C3 - LA Connections  '!AC16-'Table 5C3 - LA Connections  '!AF16</f>
        <v>-9981.9</v>
      </c>
      <c r="O17" s="260">
        <f>-'Table 5E_OJJ'!O18</f>
        <v>0</v>
      </c>
      <c r="P17" s="301">
        <f t="shared" si="2"/>
        <v>3340285.1</v>
      </c>
      <c r="Q17" s="260"/>
      <c r="R17" s="260"/>
      <c r="S17" s="260"/>
      <c r="T17" s="260"/>
      <c r="U17" s="260"/>
      <c r="V17" s="260"/>
      <c r="W17" s="260"/>
      <c r="X17" s="260"/>
      <c r="Y17" s="260"/>
      <c r="Z17" s="260">
        <f>'Table 5C2 - LA Virtual Admy '!AD16</f>
        <v>0</v>
      </c>
      <c r="AA17" s="260">
        <f>'Table 5C3 - LA Connections  '!AD16</f>
        <v>-25</v>
      </c>
      <c r="AB17" s="301">
        <f t="shared" si="3"/>
        <v>3340260.1</v>
      </c>
      <c r="AC17" s="256"/>
      <c r="AI17"/>
      <c r="AR17"/>
    </row>
    <row r="18" spans="1:44">
      <c r="A18" s="257">
        <v>13</v>
      </c>
      <c r="B18" s="258" t="s">
        <v>190</v>
      </c>
      <c r="C18" s="259">
        <f>'Table 2 Distributions &amp; Adjust'!U19</f>
        <v>10152679</v>
      </c>
      <c r="D18" s="260"/>
      <c r="E18" s="260"/>
      <c r="F18" s="260"/>
      <c r="G18" s="260"/>
      <c r="H18" s="260"/>
      <c r="I18" s="260"/>
      <c r="J18" s="260"/>
      <c r="K18" s="260"/>
      <c r="L18" s="260"/>
      <c r="M18" s="260">
        <f>-'Table 5C2 - LA Virtual Admy '!AC17-'Table 5C2 - LA Virtual Admy '!AF17</f>
        <v>-29245.050000000003</v>
      </c>
      <c r="N18" s="260">
        <f>-'Table 5C3 - LA Connections  '!AC17-'Table 5C3 - LA Connections  '!AF17</f>
        <v>-8665.2000000000007</v>
      </c>
      <c r="O18" s="260">
        <f>-'Table 5E_OJJ'!O19</f>
        <v>0</v>
      </c>
      <c r="P18" s="301">
        <f t="shared" si="2"/>
        <v>10114768.75</v>
      </c>
      <c r="Q18" s="260"/>
      <c r="R18" s="260"/>
      <c r="S18" s="260"/>
      <c r="T18" s="260"/>
      <c r="U18" s="260"/>
      <c r="V18" s="260"/>
      <c r="W18" s="260"/>
      <c r="X18" s="260"/>
      <c r="Y18" s="260"/>
      <c r="Z18" s="260">
        <f>'Table 5C2 - LA Virtual Admy '!AD17</f>
        <v>-73</v>
      </c>
      <c r="AA18" s="260">
        <f>'Table 5C3 - LA Connections  '!AD17</f>
        <v>-22</v>
      </c>
      <c r="AB18" s="301">
        <f t="shared" si="3"/>
        <v>10114673.75</v>
      </c>
      <c r="AC18" s="256"/>
      <c r="AI18"/>
      <c r="AR18"/>
    </row>
    <row r="19" spans="1:44">
      <c r="A19" s="257">
        <v>14</v>
      </c>
      <c r="B19" s="258" t="s">
        <v>191</v>
      </c>
      <c r="C19" s="259">
        <f>'Table 2 Distributions &amp; Adjust'!U20</f>
        <v>12816697</v>
      </c>
      <c r="D19" s="260"/>
      <c r="E19" s="260"/>
      <c r="F19" s="260"/>
      <c r="G19" s="260"/>
      <c r="H19" s="260"/>
      <c r="I19" s="260"/>
      <c r="J19" s="260"/>
      <c r="K19" s="260"/>
      <c r="L19" s="260"/>
      <c r="M19" s="260">
        <f>-'Table 5C2 - LA Virtual Admy '!AC18-'Table 5C2 - LA Virtual Admy '!AF18</f>
        <v>-12067.2</v>
      </c>
      <c r="N19" s="260">
        <f>-'Table 5C3 - LA Connections  '!AC18-'Table 5C3 - LA Connections  '!AF18</f>
        <v>-21117.600000000002</v>
      </c>
      <c r="O19" s="260">
        <f>-'Table 5E_OJJ'!O20</f>
        <v>-876.19933033464133</v>
      </c>
      <c r="P19" s="301">
        <f t="shared" si="2"/>
        <v>12782636.000669666</v>
      </c>
      <c r="Q19" s="260"/>
      <c r="R19" s="260"/>
      <c r="S19" s="260"/>
      <c r="T19" s="260"/>
      <c r="U19" s="260"/>
      <c r="V19" s="260"/>
      <c r="W19" s="260"/>
      <c r="X19" s="260"/>
      <c r="Y19" s="260"/>
      <c r="Z19" s="260">
        <f>'Table 5C2 - LA Virtual Admy '!AD18</f>
        <v>-30</v>
      </c>
      <c r="AA19" s="260">
        <f>'Table 5C3 - LA Connections  '!AD18</f>
        <v>-53</v>
      </c>
      <c r="AB19" s="301">
        <f t="shared" si="3"/>
        <v>12782553.000669666</v>
      </c>
      <c r="AC19" s="256"/>
      <c r="AI19"/>
      <c r="AR19"/>
    </row>
    <row r="20" spans="1:44">
      <c r="A20" s="266">
        <v>15</v>
      </c>
      <c r="B20" s="267" t="s">
        <v>192</v>
      </c>
      <c r="C20" s="268">
        <f>'Table 2 Distributions &amp; Adjust'!U21</f>
        <v>21599497</v>
      </c>
      <c r="D20" s="269"/>
      <c r="E20" s="269"/>
      <c r="F20" s="269"/>
      <c r="G20" s="269"/>
      <c r="H20" s="269"/>
      <c r="I20" s="269"/>
      <c r="J20" s="269"/>
      <c r="K20" s="269"/>
      <c r="L20" s="269"/>
      <c r="M20" s="269">
        <f>-'Table 5C2 - LA Virtual Admy '!AC19-'Table 5C2 - LA Virtual Admy '!AF19</f>
        <v>-10327.5</v>
      </c>
      <c r="N20" s="269">
        <f>-'Table 5C3 - LA Connections  '!AC19-'Table 5C3 - LA Connections  '!AF19</f>
        <v>-2295</v>
      </c>
      <c r="O20" s="269">
        <f>-'Table 5E_OJJ'!O21</f>
        <v>-2724.0183455035044</v>
      </c>
      <c r="P20" s="302">
        <f t="shared" si="2"/>
        <v>21584150.481654495</v>
      </c>
      <c r="Q20" s="269"/>
      <c r="R20" s="269"/>
      <c r="S20" s="269"/>
      <c r="T20" s="269"/>
      <c r="U20" s="269"/>
      <c r="V20" s="269"/>
      <c r="W20" s="269"/>
      <c r="X20" s="269"/>
      <c r="Y20" s="269"/>
      <c r="Z20" s="269">
        <f>'Table 5C2 - LA Virtual Admy '!AD19</f>
        <v>-26</v>
      </c>
      <c r="AA20" s="269">
        <f>'Table 5C3 - LA Connections  '!AD19</f>
        <v>-6</v>
      </c>
      <c r="AB20" s="302">
        <f t="shared" si="3"/>
        <v>21584118.481654495</v>
      </c>
      <c r="AC20" s="256"/>
      <c r="AI20"/>
      <c r="AR20"/>
    </row>
    <row r="21" spans="1:44">
      <c r="A21" s="257">
        <v>16</v>
      </c>
      <c r="B21" s="258" t="s">
        <v>193</v>
      </c>
      <c r="C21" s="259">
        <f>'Table 2 Distributions &amp; Adjust'!U22</f>
        <v>10477365</v>
      </c>
      <c r="D21" s="260"/>
      <c r="E21" s="260"/>
      <c r="F21" s="260"/>
      <c r="G21" s="260"/>
      <c r="H21" s="260"/>
      <c r="I21" s="260"/>
      <c r="J21" s="260"/>
      <c r="K21" s="260"/>
      <c r="L21" s="260"/>
      <c r="M21" s="260">
        <f>-'Table 5C2 - LA Virtual Admy '!AC20-'Table 5C2 - LA Virtual Admy '!AF20</f>
        <v>-256771.80000000002</v>
      </c>
      <c r="N21" s="260">
        <f>-'Table 5C3 - LA Connections  '!AC20-'Table 5C3 - LA Connections  '!AF20</f>
        <v>-26562.600000000002</v>
      </c>
      <c r="O21" s="260">
        <f>-'Table 5E_OJJ'!O22</f>
        <v>-18058.22482237517</v>
      </c>
      <c r="P21" s="301">
        <f t="shared" si="2"/>
        <v>10175972.375177624</v>
      </c>
      <c r="Q21" s="260"/>
      <c r="R21" s="260"/>
      <c r="S21" s="260"/>
      <c r="T21" s="260"/>
      <c r="U21" s="260"/>
      <c r="V21" s="260"/>
      <c r="W21" s="260"/>
      <c r="X21" s="260"/>
      <c r="Y21" s="260"/>
      <c r="Z21" s="260">
        <f>'Table 5C2 - LA Virtual Admy '!AD20</f>
        <v>-642</v>
      </c>
      <c r="AA21" s="260">
        <f>'Table 5C3 - LA Connections  '!AD20</f>
        <v>-66</v>
      </c>
      <c r="AB21" s="301">
        <f t="shared" si="3"/>
        <v>10175264.375177624</v>
      </c>
      <c r="AC21" s="256"/>
      <c r="AI21"/>
      <c r="AR21"/>
    </row>
    <row r="22" spans="1:44">
      <c r="A22" s="257">
        <v>17</v>
      </c>
      <c r="B22" s="258" t="s">
        <v>75</v>
      </c>
      <c r="C22" s="259">
        <f>'Table 2 Distributions &amp; Adjust'!U23</f>
        <v>167201433</v>
      </c>
      <c r="D22" s="260">
        <f>-'Table 5B2_RSD_LA'!AE18-'Table 5B2_RSD_LA'!AJ18</f>
        <v>-13145610.859999999</v>
      </c>
      <c r="E22" s="260"/>
      <c r="F22" s="260">
        <f>-'Table 5C1 - Type 2s'!AB6-'Table 5C1 - Type 2s'!AE6</f>
        <v>-1217918</v>
      </c>
      <c r="G22" s="260"/>
      <c r="H22" s="260"/>
      <c r="I22" s="260"/>
      <c r="J22" s="260"/>
      <c r="K22" s="260"/>
      <c r="L22" s="260"/>
      <c r="M22" s="260">
        <f>-'Table 5C2 - LA Virtual Admy '!AC21-'Table 5C2 - LA Virtual Admy '!AF21</f>
        <v>-415983.6</v>
      </c>
      <c r="N22" s="260">
        <f>-'Table 5C3 - LA Connections  '!AC21-'Table 5C3 - LA Connections  '!AF21</f>
        <v>-275448.60000000003</v>
      </c>
      <c r="O22" s="260">
        <f>-'Table 5E_OJJ'!O23</f>
        <v>-183996.28922501596</v>
      </c>
      <c r="P22" s="301">
        <f t="shared" si="2"/>
        <v>151962475.65077499</v>
      </c>
      <c r="Q22" s="260">
        <f>'Table 5B2_RSD_LA'!AF18</f>
        <v>-206391.5</v>
      </c>
      <c r="R22" s="260">
        <f>'Table 5B2_RSD_LA'!AG18</f>
        <v>-29484.5</v>
      </c>
      <c r="S22" s="260"/>
      <c r="T22" s="260">
        <f>'Table 5C1 - Type 2s'!AC6</f>
        <v>-3076.1550000000002</v>
      </c>
      <c r="U22" s="260"/>
      <c r="V22" s="260"/>
      <c r="W22" s="260"/>
      <c r="X22" s="260"/>
      <c r="Y22" s="260"/>
      <c r="Z22" s="260">
        <f>'Table 5C2 - LA Virtual Admy '!AD21</f>
        <v>-1040</v>
      </c>
      <c r="AA22" s="260">
        <f>'Table 5C3 - LA Connections  '!AD21</f>
        <v>-689</v>
      </c>
      <c r="AB22" s="301">
        <f t="shared" si="3"/>
        <v>151721794.49577498</v>
      </c>
      <c r="AC22" s="256"/>
      <c r="AI22"/>
      <c r="AR22"/>
    </row>
    <row r="23" spans="1:44">
      <c r="A23" s="257">
        <v>18</v>
      </c>
      <c r="B23" s="258" t="s">
        <v>194</v>
      </c>
      <c r="C23" s="259">
        <f>'Table 2 Distributions &amp; Adjust'!U24</f>
        <v>7609031</v>
      </c>
      <c r="D23" s="260"/>
      <c r="E23" s="260"/>
      <c r="F23" s="260"/>
      <c r="G23" s="260"/>
      <c r="H23" s="260"/>
      <c r="I23" s="260"/>
      <c r="J23" s="260"/>
      <c r="K23" s="260"/>
      <c r="L23" s="260"/>
      <c r="M23" s="260">
        <f>-'Table 5C2 - LA Virtual Admy '!AC22-'Table 5C2 - LA Virtual Admy '!AF22</f>
        <v>-1691.1</v>
      </c>
      <c r="N23" s="260">
        <f>-'Table 5C3 - LA Connections  '!AC22-'Table 5C3 - LA Connections  '!AF22</f>
        <v>0</v>
      </c>
      <c r="O23" s="260">
        <f>-'Table 5E_OJJ'!O24</f>
        <v>-7041.4868430112811</v>
      </c>
      <c r="P23" s="301">
        <f t="shared" si="2"/>
        <v>7600298.413156989</v>
      </c>
      <c r="Q23" s="260"/>
      <c r="R23" s="260"/>
      <c r="S23" s="260"/>
      <c r="T23" s="260"/>
      <c r="U23" s="260"/>
      <c r="V23" s="260"/>
      <c r="W23" s="260"/>
      <c r="X23" s="260"/>
      <c r="Y23" s="260"/>
      <c r="Z23" s="260">
        <f>'Table 5C2 - LA Virtual Admy '!AD22</f>
        <v>-4</v>
      </c>
      <c r="AA23" s="260">
        <f>'Table 5C3 - LA Connections  '!AD22</f>
        <v>0</v>
      </c>
      <c r="AB23" s="301">
        <f t="shared" si="3"/>
        <v>7600294.413156989</v>
      </c>
      <c r="AC23" s="256"/>
      <c r="AI23"/>
      <c r="AR23"/>
    </row>
    <row r="24" spans="1:44">
      <c r="A24" s="257">
        <v>19</v>
      </c>
      <c r="B24" s="258" t="s">
        <v>195</v>
      </c>
      <c r="C24" s="259">
        <f>'Table 2 Distributions &amp; Adjust'!U25</f>
        <v>11810614</v>
      </c>
      <c r="D24" s="260"/>
      <c r="E24" s="260"/>
      <c r="F24" s="260"/>
      <c r="G24" s="260"/>
      <c r="H24" s="260"/>
      <c r="I24" s="260"/>
      <c r="J24" s="260"/>
      <c r="K24" s="260"/>
      <c r="L24" s="260"/>
      <c r="M24" s="260">
        <f>-'Table 5C2 - LA Virtual Admy '!AC23-'Table 5C2 - LA Virtual Admy '!AF23</f>
        <v>-14156.1</v>
      </c>
      <c r="N24" s="260">
        <f>-'Table 5C3 - LA Connections  '!AC23-'Table 5C3 - LA Connections  '!AF23</f>
        <v>-5055.75</v>
      </c>
      <c r="O24" s="260">
        <f>-'Table 5E_OJJ'!O25</f>
        <v>-1022.4385963222011</v>
      </c>
      <c r="P24" s="301">
        <f t="shared" si="2"/>
        <v>11790379.711403679</v>
      </c>
      <c r="Q24" s="260"/>
      <c r="R24" s="260"/>
      <c r="S24" s="260"/>
      <c r="T24" s="260"/>
      <c r="U24" s="260"/>
      <c r="V24" s="260"/>
      <c r="W24" s="260"/>
      <c r="X24" s="260"/>
      <c r="Y24" s="260"/>
      <c r="Z24" s="260">
        <f>'Table 5C2 - LA Virtual Admy '!AD23</f>
        <v>-35</v>
      </c>
      <c r="AA24" s="260">
        <f>'Table 5C3 - LA Connections  '!AD23</f>
        <v>-13</v>
      </c>
      <c r="AB24" s="301">
        <f t="shared" si="3"/>
        <v>11790331.711403679</v>
      </c>
      <c r="AC24" s="256"/>
      <c r="AI24"/>
      <c r="AR24"/>
    </row>
    <row r="25" spans="1:44">
      <c r="A25" s="266">
        <v>20</v>
      </c>
      <c r="B25" s="267" t="s">
        <v>196</v>
      </c>
      <c r="C25" s="268">
        <f>'Table 2 Distributions &amp; Adjust'!U26</f>
        <v>34926135</v>
      </c>
      <c r="D25" s="269"/>
      <c r="E25" s="269"/>
      <c r="F25" s="269"/>
      <c r="G25" s="269"/>
      <c r="H25" s="269"/>
      <c r="I25" s="269"/>
      <c r="J25" s="269"/>
      <c r="K25" s="269"/>
      <c r="L25" s="269"/>
      <c r="M25" s="269">
        <f>-'Table 5C2 - LA Virtual Admy '!AC24-'Table 5C2 - LA Virtual Admy '!AF24</f>
        <v>-10682.1</v>
      </c>
      <c r="N25" s="269">
        <f>-'Table 5C3 - LA Connections  '!AC24-'Table 5C3 - LA Connections  '!AF24</f>
        <v>-1942.2</v>
      </c>
      <c r="O25" s="269">
        <f>-'Table 5E_OJJ'!O26</f>
        <v>-15292.380892835245</v>
      </c>
      <c r="P25" s="302">
        <f t="shared" si="2"/>
        <v>34898218.31910716</v>
      </c>
      <c r="Q25" s="269"/>
      <c r="R25" s="269"/>
      <c r="S25" s="269"/>
      <c r="T25" s="269"/>
      <c r="U25" s="269"/>
      <c r="V25" s="269"/>
      <c r="W25" s="269"/>
      <c r="X25" s="269"/>
      <c r="Y25" s="269"/>
      <c r="Z25" s="269">
        <f>'Table 5C2 - LA Virtual Admy '!AD24</f>
        <v>-27</v>
      </c>
      <c r="AA25" s="269">
        <f>'Table 5C3 - LA Connections  '!AD24</f>
        <v>-5</v>
      </c>
      <c r="AB25" s="302">
        <f t="shared" si="3"/>
        <v>34898186.31910716</v>
      </c>
      <c r="AC25" s="256"/>
      <c r="AI25"/>
      <c r="AR25"/>
    </row>
    <row r="26" spans="1:44">
      <c r="A26" s="257">
        <v>21</v>
      </c>
      <c r="B26" s="258" t="s">
        <v>197</v>
      </c>
      <c r="C26" s="259">
        <f>'Table 2 Distributions &amp; Adjust'!U27</f>
        <v>18271218</v>
      </c>
      <c r="D26" s="260"/>
      <c r="E26" s="260"/>
      <c r="F26" s="260"/>
      <c r="G26" s="260"/>
      <c r="H26" s="260"/>
      <c r="I26" s="260"/>
      <c r="J26" s="260"/>
      <c r="K26" s="260"/>
      <c r="L26" s="260"/>
      <c r="M26" s="260">
        <f>-'Table 5C2 - LA Virtual Admy '!AC25-'Table 5C2 - LA Virtual Admy '!AF25</f>
        <v>0</v>
      </c>
      <c r="N26" s="260">
        <f>-'Table 5C3 - LA Connections  '!AC25-'Table 5C3 - LA Connections  '!AF25</f>
        <v>-14875.199999999999</v>
      </c>
      <c r="O26" s="260">
        <f>-'Table 5E_OJJ'!O27</f>
        <v>-16052.514798927079</v>
      </c>
      <c r="P26" s="301">
        <f t="shared" si="2"/>
        <v>18240290.285201073</v>
      </c>
      <c r="Q26" s="260"/>
      <c r="R26" s="260"/>
      <c r="S26" s="260"/>
      <c r="T26" s="260"/>
      <c r="U26" s="260"/>
      <c r="V26" s="260"/>
      <c r="W26" s="260"/>
      <c r="X26" s="260"/>
      <c r="Y26" s="260"/>
      <c r="Z26" s="260">
        <f>'Table 5C2 - LA Virtual Admy '!AD25</f>
        <v>0</v>
      </c>
      <c r="AA26" s="260">
        <f>'Table 5C3 - LA Connections  '!AD25</f>
        <v>-37</v>
      </c>
      <c r="AB26" s="301">
        <f t="shared" si="3"/>
        <v>18240253.285201073</v>
      </c>
      <c r="AC26" s="256"/>
      <c r="AI26"/>
      <c r="AR26"/>
    </row>
    <row r="27" spans="1:44">
      <c r="A27" s="257">
        <v>22</v>
      </c>
      <c r="B27" s="258" t="s">
        <v>198</v>
      </c>
      <c r="C27" s="259">
        <f>'Table 2 Distributions &amp; Adjust'!U28</f>
        <v>21759922</v>
      </c>
      <c r="D27" s="260"/>
      <c r="E27" s="260"/>
      <c r="F27" s="260"/>
      <c r="G27" s="260"/>
      <c r="H27" s="260"/>
      <c r="I27" s="260"/>
      <c r="J27" s="260"/>
      <c r="K27" s="260"/>
      <c r="L27" s="260"/>
      <c r="M27" s="260">
        <f>-'Table 5C2 - LA Virtual Admy '!AC26-'Table 5C2 - LA Virtual Admy '!AF26</f>
        <v>-1929.15</v>
      </c>
      <c r="N27" s="260">
        <f>-'Table 5C3 - LA Connections  '!AC26-'Table 5C3 - LA Connections  '!AF26</f>
        <v>-11574.900000000001</v>
      </c>
      <c r="O27" s="260">
        <f>-'Table 5E_OJJ'!O28</f>
        <v>-418.45219455363076</v>
      </c>
      <c r="P27" s="301">
        <f t="shared" si="2"/>
        <v>21745999.49780545</v>
      </c>
      <c r="Q27" s="260"/>
      <c r="R27" s="260"/>
      <c r="S27" s="260"/>
      <c r="T27" s="260"/>
      <c r="U27" s="260"/>
      <c r="V27" s="260"/>
      <c r="W27" s="260"/>
      <c r="X27" s="260"/>
      <c r="Y27" s="260"/>
      <c r="Z27" s="260">
        <f>'Table 5C2 - LA Virtual Admy '!AD26</f>
        <v>-5</v>
      </c>
      <c r="AA27" s="260">
        <f>'Table 5C3 - LA Connections  '!AD26</f>
        <v>-29</v>
      </c>
      <c r="AB27" s="301">
        <f t="shared" si="3"/>
        <v>21745965.49780545</v>
      </c>
      <c r="AC27" s="256"/>
      <c r="AI27"/>
      <c r="AR27"/>
    </row>
    <row r="28" spans="1:44">
      <c r="A28" s="257">
        <v>23</v>
      </c>
      <c r="B28" s="258" t="s">
        <v>199</v>
      </c>
      <c r="C28" s="259">
        <f>'Table 2 Distributions &amp; Adjust'!U29</f>
        <v>73368538</v>
      </c>
      <c r="D28" s="260"/>
      <c r="E28" s="260"/>
      <c r="F28" s="260"/>
      <c r="G28" s="260"/>
      <c r="H28" s="260"/>
      <c r="I28" s="260"/>
      <c r="J28" s="260"/>
      <c r="K28" s="260"/>
      <c r="L28" s="260"/>
      <c r="M28" s="260">
        <f>-'Table 5C2 - LA Virtual Admy '!AC27-'Table 5C2 - LA Virtual Admy '!AF27</f>
        <v>-20715.75</v>
      </c>
      <c r="N28" s="260">
        <f>-'Table 5C3 - LA Connections  '!AC27-'Table 5C3 - LA Connections  '!AF27</f>
        <v>-20715.75</v>
      </c>
      <c r="O28" s="260">
        <f>-'Table 5E_OJJ'!O29</f>
        <v>-21626.069113423375</v>
      </c>
      <c r="P28" s="301">
        <f t="shared" si="2"/>
        <v>73305480.430886582</v>
      </c>
      <c r="Q28" s="260"/>
      <c r="R28" s="260"/>
      <c r="S28" s="260"/>
      <c r="T28" s="260"/>
      <c r="U28" s="260"/>
      <c r="V28" s="260"/>
      <c r="W28" s="260"/>
      <c r="X28" s="260"/>
      <c r="Y28" s="260"/>
      <c r="Z28" s="260">
        <f>'Table 5C2 - LA Virtual Admy '!AD27</f>
        <v>-52</v>
      </c>
      <c r="AA28" s="260">
        <f>'Table 5C3 - LA Connections  '!AD27</f>
        <v>-52</v>
      </c>
      <c r="AB28" s="301">
        <f t="shared" si="3"/>
        <v>73305376.430886582</v>
      </c>
      <c r="AC28" s="256"/>
      <c r="AI28"/>
      <c r="AR28"/>
    </row>
    <row r="29" spans="1:44">
      <c r="A29" s="257">
        <v>24</v>
      </c>
      <c r="B29" s="258" t="s">
        <v>200</v>
      </c>
      <c r="C29" s="259">
        <f>'Table 2 Distributions &amp; Adjust'!U30</f>
        <v>14947854</v>
      </c>
      <c r="D29" s="260"/>
      <c r="E29" s="260"/>
      <c r="F29" s="260"/>
      <c r="G29" s="260"/>
      <c r="H29" s="260"/>
      <c r="I29" s="260"/>
      <c r="J29" s="260"/>
      <c r="K29" s="260"/>
      <c r="L29" s="260"/>
      <c r="M29" s="260">
        <f>-'Table 5C2 - LA Virtual Admy '!AC28-'Table 5C2 - LA Virtual Admy '!AF28</f>
        <v>-67147.199999999997</v>
      </c>
      <c r="N29" s="260">
        <f>-'Table 5C3 - LA Connections  '!AC28-'Table 5C3 - LA Connections  '!AF28</f>
        <v>-12590.099999999999</v>
      </c>
      <c r="O29" s="260">
        <f>-'Table 5E_OJJ'!O30</f>
        <v>-27904.084670112134</v>
      </c>
      <c r="P29" s="301">
        <f t="shared" si="2"/>
        <v>14840212.61532989</v>
      </c>
      <c r="Q29" s="260"/>
      <c r="R29" s="260"/>
      <c r="S29" s="260"/>
      <c r="T29" s="260"/>
      <c r="U29" s="260"/>
      <c r="V29" s="260"/>
      <c r="W29" s="260"/>
      <c r="X29" s="260"/>
      <c r="Y29" s="260"/>
      <c r="Z29" s="260">
        <f>'Table 5C2 - LA Virtual Admy '!AD28</f>
        <v>-168</v>
      </c>
      <c r="AA29" s="260">
        <f>'Table 5C3 - LA Connections  '!AD28</f>
        <v>-31</v>
      </c>
      <c r="AB29" s="301">
        <f t="shared" si="3"/>
        <v>14840013.61532989</v>
      </c>
      <c r="AC29" s="256"/>
      <c r="AI29"/>
      <c r="AR29"/>
    </row>
    <row r="30" spans="1:44">
      <c r="A30" s="266">
        <v>25</v>
      </c>
      <c r="B30" s="267" t="s">
        <v>201</v>
      </c>
      <c r="C30" s="268">
        <f>'Table 2 Distributions &amp; Adjust'!U31</f>
        <v>9579521</v>
      </c>
      <c r="D30" s="269"/>
      <c r="E30" s="269"/>
      <c r="F30" s="269"/>
      <c r="G30" s="269"/>
      <c r="H30" s="269"/>
      <c r="I30" s="269"/>
      <c r="J30" s="269"/>
      <c r="K30" s="269"/>
      <c r="L30" s="269"/>
      <c r="M30" s="269">
        <f>-'Table 5C2 - LA Virtual Admy '!AC29-'Table 5C2 - LA Virtual Admy '!AF29</f>
        <v>-33986.25</v>
      </c>
      <c r="N30" s="269">
        <f>-'Table 5C3 - LA Connections  '!AC29-'Table 5C3 - LA Connections  '!AF29</f>
        <v>0</v>
      </c>
      <c r="O30" s="269">
        <f>-'Table 5E_OJJ'!O31</f>
        <v>0</v>
      </c>
      <c r="P30" s="302">
        <f t="shared" si="2"/>
        <v>9545534.75</v>
      </c>
      <c r="Q30" s="269"/>
      <c r="R30" s="269"/>
      <c r="S30" s="269"/>
      <c r="T30" s="269"/>
      <c r="U30" s="269"/>
      <c r="V30" s="269"/>
      <c r="W30" s="269"/>
      <c r="X30" s="269"/>
      <c r="Y30" s="269"/>
      <c r="Z30" s="269">
        <f>'Table 5C2 - LA Virtual Admy '!AD29</f>
        <v>-85</v>
      </c>
      <c r="AA30" s="269">
        <f>'Table 5C3 - LA Connections  '!AD29</f>
        <v>0</v>
      </c>
      <c r="AB30" s="302">
        <f t="shared" si="3"/>
        <v>9545449.75</v>
      </c>
      <c r="AC30" s="256"/>
      <c r="AI30"/>
      <c r="AR30"/>
    </row>
    <row r="31" spans="1:44">
      <c r="A31" s="257">
        <v>26</v>
      </c>
      <c r="B31" s="258" t="s">
        <v>202</v>
      </c>
      <c r="C31" s="259">
        <f>'Table 2 Distributions &amp; Adjust'!U32</f>
        <v>173617168</v>
      </c>
      <c r="D31" s="260"/>
      <c r="E31" s="260"/>
      <c r="F31" s="260"/>
      <c r="G31" s="260"/>
      <c r="H31" s="260">
        <f>-'Table 5C1 - Type 2s'!AB42-'Table 5C1 - Type 2s'!AE42</f>
        <v>-127820</v>
      </c>
      <c r="I31" s="260">
        <f>-'Table 5C1 - Type 2s'!AB61-'Table 5C1 - Type 2s'!AE61</f>
        <v>-209160</v>
      </c>
      <c r="J31" s="260"/>
      <c r="K31" s="260">
        <f>-'Table 5C1 - Type 2s'!AD78-'Table 5C1 - Type 2s'!AG78</f>
        <v>-52580</v>
      </c>
      <c r="L31" s="260"/>
      <c r="M31" s="260">
        <f>-'Table 5C2 - LA Virtual Admy '!AC30-'Table 5C2 - LA Virtual Admy '!AF30</f>
        <v>-421165.8</v>
      </c>
      <c r="N31" s="260">
        <f>-'Table 5C3 - LA Connections  '!AC30-'Table 5C3 - LA Connections  '!AF30</f>
        <v>-189287.99999999997</v>
      </c>
      <c r="O31" s="260">
        <f>-'Table 5E_OJJ'!O32</f>
        <v>-180298.45338912841</v>
      </c>
      <c r="P31" s="301">
        <f t="shared" si="2"/>
        <v>172436855.74661085</v>
      </c>
      <c r="Q31" s="260"/>
      <c r="R31" s="260"/>
      <c r="S31" s="260"/>
      <c r="T31" s="260"/>
      <c r="U31" s="260"/>
      <c r="V31" s="260">
        <f>'Table 5C1 - Type 2s'!AC42</f>
        <v>-319.55</v>
      </c>
      <c r="W31" s="260">
        <f>'Table 5C1 - Type 2s'!AC61</f>
        <v>-522.9</v>
      </c>
      <c r="X31" s="260">
        <f>'Table 5C1 - Type 2s'!AE78</f>
        <v>-131.44999999999999</v>
      </c>
      <c r="Y31" s="260"/>
      <c r="Z31" s="260">
        <f>'Table 5C2 - LA Virtual Admy '!AD30</f>
        <v>-1053</v>
      </c>
      <c r="AA31" s="260">
        <f>'Table 5C3 - LA Connections  '!AD30</f>
        <v>-473</v>
      </c>
      <c r="AB31" s="301">
        <f t="shared" si="3"/>
        <v>172434355.84661084</v>
      </c>
      <c r="AC31" s="256"/>
      <c r="AI31"/>
      <c r="AR31"/>
    </row>
    <row r="32" spans="1:44">
      <c r="A32" s="257">
        <v>27</v>
      </c>
      <c r="B32" s="258" t="s">
        <v>203</v>
      </c>
      <c r="C32" s="259">
        <f>'Table 2 Distributions &amp; Adjust'!U33</f>
        <v>35743990</v>
      </c>
      <c r="D32" s="260"/>
      <c r="E32" s="260"/>
      <c r="F32" s="260"/>
      <c r="G32" s="260"/>
      <c r="H32" s="260"/>
      <c r="I32" s="260"/>
      <c r="J32" s="260"/>
      <c r="K32" s="260"/>
      <c r="L32" s="260"/>
      <c r="M32" s="260">
        <f>-'Table 5C2 - LA Virtual Admy '!AC31-'Table 5C2 - LA Virtual Admy '!AF31</f>
        <v>-6644.2500000000018</v>
      </c>
      <c r="N32" s="260">
        <f>-'Table 5C3 - LA Connections  '!AC31-'Table 5C3 - LA Connections  '!AF31</f>
        <v>-3986.55</v>
      </c>
      <c r="O32" s="260">
        <f>-'Table 5E_OJJ'!O33</f>
        <v>-932.4603130380118</v>
      </c>
      <c r="P32" s="301">
        <f t="shared" si="2"/>
        <v>35732426.739686966</v>
      </c>
      <c r="Q32" s="260"/>
      <c r="R32" s="260"/>
      <c r="S32" s="260"/>
      <c r="T32" s="260"/>
      <c r="U32" s="260"/>
      <c r="V32" s="260"/>
      <c r="W32" s="260"/>
      <c r="X32" s="260"/>
      <c r="Y32" s="260"/>
      <c r="Z32" s="260">
        <f>'Table 5C2 - LA Virtual Admy '!AD31</f>
        <v>-17</v>
      </c>
      <c r="AA32" s="260">
        <f>'Table 5C3 - LA Connections  '!AD31</f>
        <v>-10</v>
      </c>
      <c r="AB32" s="301">
        <f t="shared" si="3"/>
        <v>35732399.739686966</v>
      </c>
      <c r="AC32" s="256"/>
      <c r="AI32"/>
      <c r="AR32"/>
    </row>
    <row r="33" spans="1:44">
      <c r="A33" s="257">
        <v>28</v>
      </c>
      <c r="B33" s="258" t="s">
        <v>204</v>
      </c>
      <c r="C33" s="259">
        <f>'Table 2 Distributions &amp; Adjust'!U34</f>
        <v>120609055</v>
      </c>
      <c r="D33" s="260"/>
      <c r="E33" s="260"/>
      <c r="F33" s="260"/>
      <c r="G33" s="260"/>
      <c r="H33" s="260"/>
      <c r="I33" s="260"/>
      <c r="J33" s="260"/>
      <c r="K33" s="260"/>
      <c r="L33" s="260"/>
      <c r="M33" s="260">
        <f>-'Table 5C2 - LA Virtual Admy '!AC32-'Table 5C2 - LA Virtual Admy '!AF32</f>
        <v>-246917.7</v>
      </c>
      <c r="N33" s="260">
        <f>-'Table 5C3 - LA Connections  '!AC32-'Table 5C3 - LA Connections  '!AF32</f>
        <v>-104203.80000000002</v>
      </c>
      <c r="O33" s="260">
        <f>-'Table 5E_OJJ'!O34</f>
        <v>-28507.504006981086</v>
      </c>
      <c r="P33" s="301">
        <f t="shared" si="2"/>
        <v>120229425.99599302</v>
      </c>
      <c r="Q33" s="260"/>
      <c r="R33" s="260"/>
      <c r="S33" s="260"/>
      <c r="T33" s="260"/>
      <c r="U33" s="260"/>
      <c r="V33" s="260"/>
      <c r="W33" s="260"/>
      <c r="X33" s="260"/>
      <c r="Y33" s="260"/>
      <c r="Z33" s="260">
        <f>'Table 5C2 - LA Virtual Admy '!AD32</f>
        <v>-617</v>
      </c>
      <c r="AA33" s="260">
        <f>'Table 5C3 - LA Connections  '!AD32</f>
        <v>-261</v>
      </c>
      <c r="AB33" s="301">
        <f t="shared" si="3"/>
        <v>120228547.99599302</v>
      </c>
      <c r="AC33" s="256"/>
      <c r="AI33"/>
      <c r="AR33"/>
    </row>
    <row r="34" spans="1:44">
      <c r="A34" s="257">
        <v>29</v>
      </c>
      <c r="B34" s="258" t="s">
        <v>205</v>
      </c>
      <c r="C34" s="259">
        <f>'Table 2 Distributions &amp; Adjust'!U35</f>
        <v>67183680</v>
      </c>
      <c r="D34" s="260"/>
      <c r="E34" s="260"/>
      <c r="F34" s="260"/>
      <c r="G34" s="260"/>
      <c r="H34" s="260"/>
      <c r="I34" s="260"/>
      <c r="J34" s="260"/>
      <c r="K34" s="260"/>
      <c r="L34" s="260"/>
      <c r="M34" s="260">
        <f>-'Table 5C2 - LA Virtual Admy '!AC33-'Table 5C2 - LA Virtual Admy '!AF33</f>
        <v>-75411</v>
      </c>
      <c r="N34" s="260">
        <f>-'Table 5C3 - LA Connections  '!AC33-'Table 5C3 - LA Connections  '!AF33</f>
        <v>-23814</v>
      </c>
      <c r="O34" s="260">
        <f>-'Table 5E_OJJ'!O35</f>
        <v>-56999.504352528558</v>
      </c>
      <c r="P34" s="301">
        <f t="shared" si="2"/>
        <v>67027455.495647475</v>
      </c>
      <c r="Q34" s="260"/>
      <c r="R34" s="260"/>
      <c r="S34" s="260"/>
      <c r="T34" s="260"/>
      <c r="U34" s="260"/>
      <c r="V34" s="260"/>
      <c r="W34" s="260"/>
      <c r="X34" s="260"/>
      <c r="Y34" s="260"/>
      <c r="Z34" s="260">
        <f>'Table 5C2 - LA Virtual Admy '!AD33</f>
        <v>-189</v>
      </c>
      <c r="AA34" s="260">
        <f>'Table 5C3 - LA Connections  '!AD33</f>
        <v>-60</v>
      </c>
      <c r="AB34" s="301">
        <f t="shared" si="3"/>
        <v>67027206.495647475</v>
      </c>
      <c r="AC34" s="256"/>
      <c r="AI34"/>
      <c r="AR34"/>
    </row>
    <row r="35" spans="1:44">
      <c r="A35" s="266">
        <v>30</v>
      </c>
      <c r="B35" s="267" t="s">
        <v>206</v>
      </c>
      <c r="C35" s="268">
        <f>'Table 2 Distributions &amp; Adjust'!U36</f>
        <v>15921948</v>
      </c>
      <c r="D35" s="269"/>
      <c r="E35" s="269"/>
      <c r="F35" s="269"/>
      <c r="G35" s="269"/>
      <c r="H35" s="269"/>
      <c r="I35" s="269"/>
      <c r="J35" s="269"/>
      <c r="K35" s="269"/>
      <c r="L35" s="269"/>
      <c r="M35" s="269">
        <f>-'Table 5C2 - LA Virtual Admy '!AC34-'Table 5C2 - LA Virtual Admy '!AF34</f>
        <v>-6366.6000000000013</v>
      </c>
      <c r="N35" s="269">
        <f>-'Table 5C3 - LA Connections  '!AC34-'Table 5C3 - LA Connections  '!AF34</f>
        <v>-9549.9</v>
      </c>
      <c r="O35" s="269">
        <f>-'Table 5E_OJJ'!O36</f>
        <v>0</v>
      </c>
      <c r="P35" s="302">
        <f t="shared" si="2"/>
        <v>15906031.5</v>
      </c>
      <c r="Q35" s="269"/>
      <c r="R35" s="269"/>
      <c r="S35" s="269"/>
      <c r="T35" s="269"/>
      <c r="U35" s="269"/>
      <c r="V35" s="269"/>
      <c r="W35" s="269"/>
      <c r="X35" s="269"/>
      <c r="Y35" s="269"/>
      <c r="Z35" s="269">
        <f>'Table 5C2 - LA Virtual Admy '!AD34</f>
        <v>-16</v>
      </c>
      <c r="AA35" s="269">
        <f>'Table 5C3 - LA Connections  '!AD34</f>
        <v>-24</v>
      </c>
      <c r="AB35" s="302">
        <f t="shared" si="3"/>
        <v>15905991.5</v>
      </c>
      <c r="AC35" s="256"/>
      <c r="AI35"/>
      <c r="AR35"/>
    </row>
    <row r="36" spans="1:44">
      <c r="A36" s="257">
        <v>31</v>
      </c>
      <c r="B36" s="258" t="s">
        <v>207</v>
      </c>
      <c r="C36" s="259">
        <f>'Table 2 Distributions &amp; Adjust'!U37</f>
        <v>31298439</v>
      </c>
      <c r="D36" s="260"/>
      <c r="E36" s="260"/>
      <c r="F36" s="260"/>
      <c r="G36" s="260">
        <f>-'Table 5C1 - Type 2s'!AB26-'Table 5C1 - Type 2s'!AE26</f>
        <v>-7015.5</v>
      </c>
      <c r="H36" s="260"/>
      <c r="I36" s="260"/>
      <c r="J36" s="260"/>
      <c r="K36" s="260"/>
      <c r="L36" s="260"/>
      <c r="M36" s="260">
        <f>-'Table 5C2 - LA Virtual Admy '!AC35-'Table 5C2 - LA Virtual Admy '!AF35</f>
        <v>-18941.850000000002</v>
      </c>
      <c r="N36" s="260">
        <f>-'Table 5C3 - LA Connections  '!AC35-'Table 5C3 - LA Connections  '!AF35</f>
        <v>-10523.25</v>
      </c>
      <c r="O36" s="260">
        <f>-'Table 5E_OJJ'!O37</f>
        <v>-10428.436967068195</v>
      </c>
      <c r="P36" s="301">
        <f t="shared" si="2"/>
        <v>31251529.963032931</v>
      </c>
      <c r="Q36" s="260"/>
      <c r="R36" s="260"/>
      <c r="S36" s="260"/>
      <c r="T36" s="260"/>
      <c r="U36" s="260">
        <f>'Table 5C1 - Type 2s'!AC26</f>
        <v>-17.53875</v>
      </c>
      <c r="V36" s="260"/>
      <c r="W36" s="260"/>
      <c r="X36" s="260"/>
      <c r="Y36" s="260"/>
      <c r="Z36" s="260">
        <f>'Table 5C2 - LA Virtual Admy '!AD35</f>
        <v>-47</v>
      </c>
      <c r="AA36" s="260">
        <f>'Table 5C3 - LA Connections  '!AD35</f>
        <v>-26</v>
      </c>
      <c r="AB36" s="301">
        <f t="shared" si="3"/>
        <v>31251439.424282931</v>
      </c>
      <c r="AC36" s="256"/>
      <c r="AI36"/>
      <c r="AR36"/>
    </row>
    <row r="37" spans="1:44">
      <c r="A37" s="257">
        <v>32</v>
      </c>
      <c r="B37" s="258" t="s">
        <v>208</v>
      </c>
      <c r="C37" s="259">
        <f>'Table 2 Distributions &amp; Adjust'!U38</f>
        <v>145560301</v>
      </c>
      <c r="D37" s="260"/>
      <c r="E37" s="260"/>
      <c r="F37" s="260">
        <f>-'Table 5C1 - Type 2s'!AB7-'Table 5C1 - Type 2s'!AE7</f>
        <v>-937.5</v>
      </c>
      <c r="G37" s="260"/>
      <c r="H37" s="260"/>
      <c r="I37" s="260"/>
      <c r="J37" s="260"/>
      <c r="K37" s="260"/>
      <c r="L37" s="260"/>
      <c r="M37" s="260">
        <f>-'Table 5C2 - LA Virtual Admy '!AC36-'Table 5C2 - LA Virtual Admy '!AF36</f>
        <v>-57375</v>
      </c>
      <c r="N37" s="260">
        <f>-'Table 5C3 - LA Connections  '!AC36-'Table 5C3 - LA Connections  '!AF36</f>
        <v>-54843.75</v>
      </c>
      <c r="O37" s="260">
        <f>-'Table 5E_OJJ'!O38</f>
        <v>-2823.5909648359143</v>
      </c>
      <c r="P37" s="301">
        <f t="shared" si="2"/>
        <v>145444321.15903518</v>
      </c>
      <c r="Q37" s="260"/>
      <c r="R37" s="260"/>
      <c r="S37" s="260"/>
      <c r="T37" s="260">
        <f>'Table 5C1 - Type 2s'!AC7</f>
        <v>-2.34375</v>
      </c>
      <c r="U37" s="260"/>
      <c r="V37" s="260"/>
      <c r="W37" s="260"/>
      <c r="X37" s="260"/>
      <c r="Y37" s="260"/>
      <c r="Z37" s="260">
        <f>'Table 5C2 - LA Virtual Admy '!AD36</f>
        <v>-143</v>
      </c>
      <c r="AA37" s="260">
        <f>'Table 5C3 - LA Connections  '!AD36</f>
        <v>-137</v>
      </c>
      <c r="AB37" s="301">
        <f t="shared" si="3"/>
        <v>145444038.81528518</v>
      </c>
      <c r="AC37" s="256"/>
      <c r="AI37"/>
      <c r="AR37"/>
    </row>
    <row r="38" spans="1:44">
      <c r="A38" s="257">
        <v>33</v>
      </c>
      <c r="B38" s="258" t="s">
        <v>209</v>
      </c>
      <c r="C38" s="259">
        <f>'Table 2 Distributions &amp; Adjust'!U39</f>
        <v>11701270</v>
      </c>
      <c r="D38" s="260"/>
      <c r="E38" s="260"/>
      <c r="F38" s="260"/>
      <c r="G38" s="260"/>
      <c r="H38" s="260"/>
      <c r="I38" s="260"/>
      <c r="J38" s="260"/>
      <c r="K38" s="260"/>
      <c r="L38" s="260"/>
      <c r="M38" s="260">
        <f>-'Table 5C2 - LA Virtual Admy '!AC37-'Table 5C2 - LA Virtual Admy '!AF37</f>
        <v>-16443</v>
      </c>
      <c r="N38" s="260">
        <f>-'Table 5C3 - LA Connections  '!AC37-'Table 5C3 - LA Connections  '!AF37</f>
        <v>-5481</v>
      </c>
      <c r="O38" s="260">
        <f>-'Table 5E_OJJ'!O39</f>
        <v>-11857.052390871253</v>
      </c>
      <c r="P38" s="301">
        <f t="shared" si="2"/>
        <v>11667488.947609128</v>
      </c>
      <c r="Q38" s="260"/>
      <c r="R38" s="260"/>
      <c r="S38" s="260"/>
      <c r="T38" s="260"/>
      <c r="U38" s="260"/>
      <c r="V38" s="260"/>
      <c r="W38" s="260"/>
      <c r="X38" s="260"/>
      <c r="Y38" s="260"/>
      <c r="Z38" s="260">
        <f>'Table 5C2 - LA Virtual Admy '!AD37</f>
        <v>-41</v>
      </c>
      <c r="AA38" s="260">
        <f>'Table 5C3 - LA Connections  '!AD37</f>
        <v>-14</v>
      </c>
      <c r="AB38" s="301">
        <f t="shared" si="3"/>
        <v>11667433.947609128</v>
      </c>
      <c r="AC38" s="256"/>
      <c r="AI38"/>
      <c r="AR38"/>
    </row>
    <row r="39" spans="1:44">
      <c r="A39" s="257">
        <v>34</v>
      </c>
      <c r="B39" s="258" t="s">
        <v>210</v>
      </c>
      <c r="C39" s="259">
        <f>'Table 2 Distributions &amp; Adjust'!U40</f>
        <v>27638092</v>
      </c>
      <c r="D39" s="260"/>
      <c r="E39" s="260"/>
      <c r="F39" s="260"/>
      <c r="G39" s="260"/>
      <c r="H39" s="260"/>
      <c r="I39" s="260"/>
      <c r="J39" s="260"/>
      <c r="K39" s="260"/>
      <c r="L39" s="260"/>
      <c r="M39" s="260">
        <f>-'Table 5C2 - LA Virtual Admy '!AC38-'Table 5C2 - LA Virtual Admy '!AF38</f>
        <v>-31625.1</v>
      </c>
      <c r="N39" s="260">
        <f>-'Table 5C3 - LA Connections  '!AC38-'Table 5C3 - LA Connections  '!AF38</f>
        <v>-4865.3999999999996</v>
      </c>
      <c r="O39" s="260">
        <f>-'Table 5E_OJJ'!O40</f>
        <v>0</v>
      </c>
      <c r="P39" s="301">
        <f t="shared" si="2"/>
        <v>27601601.5</v>
      </c>
      <c r="Q39" s="260"/>
      <c r="R39" s="260"/>
      <c r="S39" s="260"/>
      <c r="T39" s="260"/>
      <c r="U39" s="260"/>
      <c r="V39" s="260"/>
      <c r="W39" s="260"/>
      <c r="X39" s="260"/>
      <c r="Y39" s="260"/>
      <c r="Z39" s="260">
        <f>'Table 5C2 - LA Virtual Admy '!AD38</f>
        <v>-79</v>
      </c>
      <c r="AA39" s="260">
        <f>'Table 5C3 - LA Connections  '!AD38</f>
        <v>-12</v>
      </c>
      <c r="AB39" s="301">
        <f t="shared" si="3"/>
        <v>27601510.5</v>
      </c>
      <c r="AC39" s="256"/>
      <c r="AI39"/>
      <c r="AR39"/>
    </row>
    <row r="40" spans="1:44">
      <c r="A40" s="266">
        <v>35</v>
      </c>
      <c r="B40" s="267" t="s">
        <v>211</v>
      </c>
      <c r="C40" s="268">
        <f>'Table 2 Distributions &amp; Adjust'!U41</f>
        <v>35337699</v>
      </c>
      <c r="D40" s="269"/>
      <c r="E40" s="269"/>
      <c r="F40" s="269"/>
      <c r="G40" s="269"/>
      <c r="H40" s="269"/>
      <c r="I40" s="269"/>
      <c r="J40" s="269"/>
      <c r="K40" s="269"/>
      <c r="L40" s="269"/>
      <c r="M40" s="269">
        <f>-'Table 5C2 - LA Virtual Admy '!AC39-'Table 5C2 - LA Virtual Admy '!AF39</f>
        <v>-26915.400000000005</v>
      </c>
      <c r="N40" s="269">
        <f>-'Table 5C3 - LA Connections  '!AC39-'Table 5C3 - LA Connections  '!AF39</f>
        <v>-29748.600000000006</v>
      </c>
      <c r="O40" s="269">
        <f>-'Table 5E_OJJ'!O41</f>
        <v>-7625.6317799606531</v>
      </c>
      <c r="P40" s="302">
        <f t="shared" si="2"/>
        <v>35273409.368220039</v>
      </c>
      <c r="Q40" s="269"/>
      <c r="R40" s="269"/>
      <c r="S40" s="269"/>
      <c r="T40" s="269"/>
      <c r="U40" s="269"/>
      <c r="V40" s="269"/>
      <c r="W40" s="269"/>
      <c r="X40" s="269"/>
      <c r="Y40" s="269"/>
      <c r="Z40" s="269">
        <f>'Table 5C2 - LA Virtual Admy '!AD39</f>
        <v>-67</v>
      </c>
      <c r="AA40" s="269">
        <f>'Table 5C3 - LA Connections  '!AD39</f>
        <v>-74</v>
      </c>
      <c r="AB40" s="302">
        <f t="shared" si="3"/>
        <v>35273268.368220039</v>
      </c>
      <c r="AC40" s="256"/>
      <c r="AI40"/>
      <c r="AR40"/>
    </row>
    <row r="41" spans="1:44">
      <c r="A41" s="257">
        <v>36</v>
      </c>
      <c r="B41" s="258" t="s">
        <v>74</v>
      </c>
      <c r="C41" s="259">
        <f>'Table 2 Distributions &amp; Adjust'!U42</f>
        <v>42342377</v>
      </c>
      <c r="D41" s="260"/>
      <c r="E41" s="260">
        <f>-'[3]March 2012 Allocation'!$AN$60-'[3]March 2012 Allocation'!$AS$60</f>
        <v>-118665141.64659856</v>
      </c>
      <c r="F41" s="260"/>
      <c r="G41" s="260"/>
      <c r="H41" s="260">
        <f>-'Table 5C1 - Type 2s'!AB41-'Table 5C1 - Type 2s'!AE41</f>
        <v>-1115345</v>
      </c>
      <c r="I41" s="260">
        <f>-'Table 5C1 - Type 2s'!AB60-'Table 5C1 - Type 2s'!AE60</f>
        <v>-235592</v>
      </c>
      <c r="J41" s="260"/>
      <c r="K41" s="260">
        <f>-'Table 5C1 - Type 2s'!AD77-'Table 5C1 - Type 2s'!AG77</f>
        <v>-213444</v>
      </c>
      <c r="L41" s="260"/>
      <c r="M41" s="260">
        <f>-'Table 5C2 - LA Virtual Admy '!AC40-'Table 5C2 - LA Virtual Admy '!AF40</f>
        <v>-351454.95000000007</v>
      </c>
      <c r="N41" s="260">
        <f>-'Table 5C3 - LA Connections  '!AC40-'Table 5C3 - LA Connections  '!AF40</f>
        <v>-61122.600000000006</v>
      </c>
      <c r="O41" s="260">
        <f>-'Table 5E_OJJ'!O42</f>
        <v>-156493.64087004296</v>
      </c>
      <c r="P41" s="301">
        <f t="shared" si="2"/>
        <v>-78456216.837468609</v>
      </c>
      <c r="Q41" s="260"/>
      <c r="R41" s="260"/>
      <c r="S41" s="260">
        <f>'[3]March 2012 Allocation'!$AP$60</f>
        <v>-235236.65625</v>
      </c>
      <c r="T41" s="260"/>
      <c r="U41" s="260"/>
      <c r="V41" s="260">
        <f>'Table 5C1 - Type 2s'!AC41</f>
        <v>-2839.7249999999999</v>
      </c>
      <c r="W41" s="260">
        <f>'Table 5C1 - Type 2s'!AC60</f>
        <v>-588.98</v>
      </c>
      <c r="X41" s="260">
        <f>'Table 5C1 - Type 2s'!AE77</f>
        <v>-533.61</v>
      </c>
      <c r="Y41" s="260"/>
      <c r="Z41" s="260">
        <f>'Table 5C2 - LA Virtual Admy '!AD40</f>
        <v>-879</v>
      </c>
      <c r="AA41" s="260">
        <f>'Table 5C3 - LA Connections  '!AD40</f>
        <v>-153</v>
      </c>
      <c r="AB41" s="301">
        <f t="shared" si="3"/>
        <v>-78696447.808718607</v>
      </c>
      <c r="AC41" s="303"/>
      <c r="AE41" s="303"/>
      <c r="AF41" s="303"/>
      <c r="AG41" s="303"/>
      <c r="AI41"/>
      <c r="AR41"/>
    </row>
    <row r="42" spans="1:44">
      <c r="A42" s="257">
        <v>37</v>
      </c>
      <c r="B42" s="258" t="s">
        <v>213</v>
      </c>
      <c r="C42" s="259">
        <f>'Table 2 Distributions &amp; Adjust'!U43</f>
        <v>117504228</v>
      </c>
      <c r="D42" s="260"/>
      <c r="E42" s="260"/>
      <c r="F42" s="260"/>
      <c r="G42" s="260">
        <f>-'Table 5C1 - Type 2s'!AB25-'Table 5C1 - Type 2s'!AE25</f>
        <v>-6060</v>
      </c>
      <c r="H42" s="260"/>
      <c r="I42" s="260"/>
      <c r="J42" s="260"/>
      <c r="K42" s="260"/>
      <c r="L42" s="260"/>
      <c r="M42" s="260">
        <f>-'Table 5C2 - LA Virtual Admy '!AC41-'Table 5C2 - LA Virtual Admy '!AF41</f>
        <v>-47722.5</v>
      </c>
      <c r="N42" s="260">
        <f>-'Table 5C3 - LA Connections  '!AC41-'Table 5C3 - LA Connections  '!AF41</f>
        <v>-38178</v>
      </c>
      <c r="O42" s="260">
        <f>-'Table 5E_OJJ'!O43</f>
        <v>-7506.9737448049091</v>
      </c>
      <c r="P42" s="301">
        <f t="shared" si="2"/>
        <v>117404760.52625519</v>
      </c>
      <c r="Q42" s="260"/>
      <c r="R42" s="260"/>
      <c r="S42" s="260"/>
      <c r="T42" s="260"/>
      <c r="U42" s="260">
        <f>'Table 5C1 - Type 2s'!AC25</f>
        <v>-15.15</v>
      </c>
      <c r="V42" s="260"/>
      <c r="W42" s="260"/>
      <c r="X42" s="260"/>
      <c r="Y42" s="260"/>
      <c r="Z42" s="260">
        <f>'Table 5C2 - LA Virtual Admy '!AD41</f>
        <v>-119</v>
      </c>
      <c r="AA42" s="260">
        <f>'Table 5C3 - LA Connections  '!AD41</f>
        <v>-95</v>
      </c>
      <c r="AB42" s="301">
        <f t="shared" si="3"/>
        <v>117404531.37625518</v>
      </c>
      <c r="AC42" s="303"/>
      <c r="AE42" s="303"/>
      <c r="AF42" s="303"/>
      <c r="AG42" s="303"/>
      <c r="AI42"/>
      <c r="AR42"/>
    </row>
    <row r="43" spans="1:44">
      <c r="A43" s="257">
        <v>38</v>
      </c>
      <c r="B43" s="258" t="s">
        <v>214</v>
      </c>
      <c r="C43" s="259">
        <f>'Table 2 Distributions &amp; Adjust'!U44</f>
        <v>12091336</v>
      </c>
      <c r="D43" s="260"/>
      <c r="E43" s="260"/>
      <c r="F43" s="260"/>
      <c r="G43" s="260"/>
      <c r="H43" s="260"/>
      <c r="I43" s="260">
        <f>-'Table 5C1 - Type 2s'!AB62-'Table 5C1 - Type 2s'!AE62</f>
        <v>-5712</v>
      </c>
      <c r="J43" s="260"/>
      <c r="K43" s="260"/>
      <c r="L43" s="260"/>
      <c r="M43" s="260">
        <f>-'Table 5C2 - LA Virtual Admy '!AC42-'Table 5C2 - LA Virtual Admy '!AF42</f>
        <v>-46267.199999999997</v>
      </c>
      <c r="N43" s="260">
        <f>-'Table 5C3 - LA Connections  '!AC42-'Table 5C3 - LA Connections  '!AF42</f>
        <v>0</v>
      </c>
      <c r="O43" s="260">
        <f>-'Table 5E_OJJ'!O44</f>
        <v>0</v>
      </c>
      <c r="P43" s="301">
        <f t="shared" si="2"/>
        <v>12039356.800000001</v>
      </c>
      <c r="Q43" s="260"/>
      <c r="R43" s="260"/>
      <c r="S43" s="260"/>
      <c r="T43" s="260"/>
      <c r="U43" s="260"/>
      <c r="V43" s="260"/>
      <c r="W43" s="260">
        <f>'Table 5C1 - Type 2s'!AC62</f>
        <v>-14.280000000000001</v>
      </c>
      <c r="X43" s="260"/>
      <c r="Y43" s="260"/>
      <c r="Z43" s="260">
        <f>'Table 5C2 - LA Virtual Admy '!AD42</f>
        <v>-116</v>
      </c>
      <c r="AA43" s="260">
        <f>'Table 5C3 - LA Connections  '!AD42</f>
        <v>0</v>
      </c>
      <c r="AB43" s="301">
        <f t="shared" si="3"/>
        <v>12039226.520000001</v>
      </c>
      <c r="AC43" s="303"/>
      <c r="AE43" s="303"/>
      <c r="AF43" s="303"/>
      <c r="AG43" s="303"/>
      <c r="AI43"/>
      <c r="AR43"/>
    </row>
    <row r="44" spans="1:44">
      <c r="A44" s="257">
        <v>39</v>
      </c>
      <c r="B44" s="258" t="s">
        <v>76</v>
      </c>
      <c r="C44" s="259">
        <f>'Table 2 Distributions &amp; Adjust'!U45</f>
        <v>11374357</v>
      </c>
      <c r="D44" s="260">
        <f>-'Table 5B2_RSD_LA'!AE23-'Table 5B2_RSD_LA'!AJ23</f>
        <v>-1104742</v>
      </c>
      <c r="E44" s="260"/>
      <c r="F44" s="260"/>
      <c r="G44" s="260"/>
      <c r="H44" s="260"/>
      <c r="I44" s="260"/>
      <c r="J44" s="260"/>
      <c r="K44" s="260"/>
      <c r="L44" s="260"/>
      <c r="M44" s="260">
        <f>-'Table 5C2 - LA Virtual Admy '!AC43-'Table 5C2 - LA Virtual Admy '!AF43</f>
        <v>-30431.700000000004</v>
      </c>
      <c r="N44" s="260">
        <f>-'Table 5C3 - LA Connections  '!AC43-'Table 5C3 - LA Connections  '!AF43</f>
        <v>-19691.100000000002</v>
      </c>
      <c r="O44" s="260">
        <f>-'Table 5E_OJJ'!O45</f>
        <v>-3944.7695638840914</v>
      </c>
      <c r="P44" s="301">
        <f t="shared" si="2"/>
        <v>10215547.430436118</v>
      </c>
      <c r="Q44" s="260">
        <f>'Table 5B2_RSD_LA'!AF23</f>
        <v>-19474.665000000001</v>
      </c>
      <c r="R44" s="260">
        <f>'Table 5B2_RSD_LA'!AG23</f>
        <v>-2782.0950000000003</v>
      </c>
      <c r="S44" s="260"/>
      <c r="T44" s="260"/>
      <c r="U44" s="260"/>
      <c r="V44" s="260"/>
      <c r="W44" s="260"/>
      <c r="X44" s="260"/>
      <c r="Y44" s="260"/>
      <c r="Z44" s="260">
        <f>'Table 5C2 - LA Virtual Admy '!AD43</f>
        <v>-76</v>
      </c>
      <c r="AA44" s="260">
        <f>'Table 5C3 - LA Connections  '!AD43</f>
        <v>-49</v>
      </c>
      <c r="AB44" s="301">
        <f t="shared" si="3"/>
        <v>10193165.670436118</v>
      </c>
      <c r="AC44" s="304"/>
      <c r="AE44" s="278"/>
      <c r="AF44" s="278"/>
      <c r="AG44" s="278"/>
      <c r="AI44"/>
      <c r="AR44"/>
    </row>
    <row r="45" spans="1:44">
      <c r="A45" s="266">
        <v>40</v>
      </c>
      <c r="B45" s="267" t="s">
        <v>215</v>
      </c>
      <c r="C45" s="268">
        <f>'Table 2 Distributions &amp; Adjust'!U46</f>
        <v>126372980</v>
      </c>
      <c r="D45" s="269"/>
      <c r="E45" s="269"/>
      <c r="F45" s="269"/>
      <c r="G45" s="269"/>
      <c r="H45" s="269"/>
      <c r="I45" s="269"/>
      <c r="J45" s="269"/>
      <c r="K45" s="269"/>
      <c r="L45" s="269"/>
      <c r="M45" s="269">
        <f>-'Table 5C2 - LA Virtual Admy '!AC44-'Table 5C2 - LA Virtual Admy '!AF44</f>
        <v>-90354.6</v>
      </c>
      <c r="N45" s="269">
        <f>-'Table 5C3 - LA Connections  '!AC44-'Table 5C3 - LA Connections  '!AF44</f>
        <v>-63630.000000000015</v>
      </c>
      <c r="O45" s="269">
        <f>-'Table 5E_OJJ'!O46</f>
        <v>-14037.719505174344</v>
      </c>
      <c r="P45" s="302">
        <f t="shared" si="2"/>
        <v>126204957.68049483</v>
      </c>
      <c r="Q45" s="269"/>
      <c r="R45" s="269"/>
      <c r="S45" s="269"/>
      <c r="T45" s="269"/>
      <c r="U45" s="269"/>
      <c r="V45" s="269"/>
      <c r="W45" s="269"/>
      <c r="X45" s="269"/>
      <c r="Y45" s="269"/>
      <c r="Z45" s="269">
        <f>'Table 5C2 - LA Virtual Admy '!AD44</f>
        <v>-226</v>
      </c>
      <c r="AA45" s="269">
        <f>'Table 5C3 - LA Connections  '!AD44</f>
        <v>-159</v>
      </c>
      <c r="AB45" s="302">
        <f t="shared" si="3"/>
        <v>126204572.68049483</v>
      </c>
      <c r="AC45" s="256"/>
      <c r="AI45"/>
      <c r="AR45"/>
    </row>
    <row r="46" spans="1:44">
      <c r="A46" s="257">
        <v>41</v>
      </c>
      <c r="B46" s="258" t="s">
        <v>216</v>
      </c>
      <c r="C46" s="259">
        <f>'Table 2 Distributions &amp; Adjust'!U47</f>
        <v>4332961</v>
      </c>
      <c r="D46" s="260"/>
      <c r="E46" s="260"/>
      <c r="F46" s="260"/>
      <c r="G46" s="260"/>
      <c r="H46" s="260"/>
      <c r="I46" s="260"/>
      <c r="J46" s="260"/>
      <c r="K46" s="260"/>
      <c r="L46" s="260"/>
      <c r="M46" s="260">
        <f>-'Table 5C2 - LA Virtual Admy '!AC45-'Table 5C2 - LA Virtual Admy '!AF45</f>
        <v>-38913.75</v>
      </c>
      <c r="N46" s="260">
        <f>-'Table 5C3 - LA Connections  '!AC45-'Table 5C3 - LA Connections  '!AF45</f>
        <v>-15565.5</v>
      </c>
      <c r="O46" s="260">
        <f>-'Table 5E_OJJ'!O47</f>
        <v>-6706.4944677871581</v>
      </c>
      <c r="P46" s="301">
        <f t="shared" si="2"/>
        <v>4271775.2555322126</v>
      </c>
      <c r="Q46" s="260"/>
      <c r="R46" s="260"/>
      <c r="S46" s="260"/>
      <c r="T46" s="260"/>
      <c r="U46" s="260"/>
      <c r="V46" s="260"/>
      <c r="W46" s="260"/>
      <c r="X46" s="260"/>
      <c r="Y46" s="260"/>
      <c r="Z46" s="260">
        <f>'Table 5C2 - LA Virtual Admy '!AD45</f>
        <v>-97</v>
      </c>
      <c r="AA46" s="260">
        <f>'Table 5C3 - LA Connections  '!AD45</f>
        <v>-39</v>
      </c>
      <c r="AB46" s="301">
        <f t="shared" si="3"/>
        <v>4271639.2555322126</v>
      </c>
      <c r="AC46" s="256"/>
      <c r="AI46"/>
      <c r="AR46"/>
    </row>
    <row r="47" spans="1:44">
      <c r="A47" s="257">
        <v>42</v>
      </c>
      <c r="B47" s="258" t="s">
        <v>217</v>
      </c>
      <c r="C47" s="259">
        <f>'Table 2 Distributions &amp; Adjust'!U48</f>
        <v>20619636</v>
      </c>
      <c r="D47" s="260"/>
      <c r="E47" s="260"/>
      <c r="F47" s="260"/>
      <c r="G47" s="260"/>
      <c r="H47" s="260"/>
      <c r="I47" s="260"/>
      <c r="J47" s="260"/>
      <c r="K47" s="260"/>
      <c r="L47" s="260"/>
      <c r="M47" s="260">
        <f>-'Table 5C2 - LA Virtual Admy '!AC46-'Table 5C2 - LA Virtual Admy '!AF46</f>
        <v>-32270.400000000005</v>
      </c>
      <c r="N47" s="260">
        <f>-'Table 5C3 - LA Connections  '!AC46-'Table 5C3 - LA Connections  '!AF46</f>
        <v>0</v>
      </c>
      <c r="O47" s="260">
        <f>-'Table 5E_OJJ'!O48</f>
        <v>-20329.194310123206</v>
      </c>
      <c r="P47" s="301">
        <f t="shared" si="2"/>
        <v>20567036.405689877</v>
      </c>
      <c r="Q47" s="260"/>
      <c r="R47" s="260"/>
      <c r="S47" s="260"/>
      <c r="T47" s="260"/>
      <c r="U47" s="260"/>
      <c r="V47" s="260"/>
      <c r="W47" s="260"/>
      <c r="X47" s="260"/>
      <c r="Y47" s="260"/>
      <c r="Z47" s="260">
        <f>'Table 5C2 - LA Virtual Admy '!AD46</f>
        <v>-81</v>
      </c>
      <c r="AA47" s="260">
        <f>'Table 5C3 - LA Connections  '!AD46</f>
        <v>0</v>
      </c>
      <c r="AB47" s="301">
        <f t="shared" si="3"/>
        <v>20566955.405689877</v>
      </c>
      <c r="AC47" s="256"/>
      <c r="AI47"/>
      <c r="AR47"/>
    </row>
    <row r="48" spans="1:44">
      <c r="A48" s="257">
        <v>43</v>
      </c>
      <c r="B48" s="258" t="s">
        <v>218</v>
      </c>
      <c r="C48" s="259">
        <f>'Table 2 Distributions &amp; Adjust'!U49</f>
        <v>25862912</v>
      </c>
      <c r="D48" s="260"/>
      <c r="E48" s="260"/>
      <c r="F48" s="260"/>
      <c r="G48" s="260"/>
      <c r="H48" s="260"/>
      <c r="I48" s="260"/>
      <c r="J48" s="260"/>
      <c r="K48" s="260"/>
      <c r="L48" s="260"/>
      <c r="M48" s="260">
        <f>-'Table 5C2 - LA Virtual Admy '!AC47-'Table 5C2 - LA Virtual Admy '!AF47</f>
        <v>-62290.80000000001</v>
      </c>
      <c r="N48" s="260">
        <f>-'Table 5C3 - LA Connections  '!AC47-'Table 5C3 - LA Connections  '!AF47</f>
        <v>-31145.399999999998</v>
      </c>
      <c r="O48" s="260">
        <f>-'Table 5E_OJJ'!O49</f>
        <v>-9389.3738894554735</v>
      </c>
      <c r="P48" s="301">
        <f t="shared" si="2"/>
        <v>25760086.426110547</v>
      </c>
      <c r="Q48" s="260"/>
      <c r="R48" s="260"/>
      <c r="S48" s="260"/>
      <c r="T48" s="260"/>
      <c r="U48" s="260"/>
      <c r="V48" s="260"/>
      <c r="W48" s="260"/>
      <c r="X48" s="260"/>
      <c r="Y48" s="260"/>
      <c r="Z48" s="260">
        <f>'Table 5C2 - LA Virtual Admy '!AD47</f>
        <v>-156</v>
      </c>
      <c r="AA48" s="260">
        <f>'Table 5C3 - LA Connections  '!AD47</f>
        <v>-78</v>
      </c>
      <c r="AB48" s="301">
        <f t="shared" si="3"/>
        <v>25759852.426110547</v>
      </c>
      <c r="AC48" s="256"/>
      <c r="AI48"/>
      <c r="AR48"/>
    </row>
    <row r="49" spans="1:44">
      <c r="A49" s="257">
        <v>44</v>
      </c>
      <c r="B49" s="258" t="s">
        <v>219</v>
      </c>
      <c r="C49" s="259">
        <f>'Table 2 Distributions &amp; Adjust'!U50</f>
        <v>29174150</v>
      </c>
      <c r="D49" s="260"/>
      <c r="E49" s="260"/>
      <c r="F49" s="260"/>
      <c r="G49" s="260"/>
      <c r="H49" s="260">
        <f>-'Table 5C1 - Type 2s'!AB43-'Table 5C1 - Type 2s'!AE43</f>
        <v>-4700</v>
      </c>
      <c r="I49" s="260"/>
      <c r="J49" s="260"/>
      <c r="K49" s="260"/>
      <c r="L49" s="260"/>
      <c r="M49" s="260">
        <f>-'Table 5C2 - LA Virtual Admy '!AC48-'Table 5C2 - LA Virtual Admy '!AF48</f>
        <v>-20950.650000000001</v>
      </c>
      <c r="N49" s="260">
        <f>-'Table 5C3 - LA Connections  '!AC48-'Table 5C3 - LA Connections  '!AF48</f>
        <v>-20950.650000000001</v>
      </c>
      <c r="O49" s="260">
        <f>-'Table 5E_OJJ'!O50</f>
        <v>-5367.0966689046518</v>
      </c>
      <c r="P49" s="301">
        <f t="shared" si="2"/>
        <v>29122181.603331096</v>
      </c>
      <c r="Q49" s="260"/>
      <c r="R49" s="260"/>
      <c r="S49" s="260"/>
      <c r="T49" s="260"/>
      <c r="U49" s="260"/>
      <c r="V49" s="260">
        <f>'Table 5C1 - Type 2s'!AC43</f>
        <v>-11.75</v>
      </c>
      <c r="W49" s="260"/>
      <c r="X49" s="260"/>
      <c r="Y49" s="260"/>
      <c r="Z49" s="260">
        <f>'Table 5C2 - LA Virtual Admy '!AD48</f>
        <v>-52</v>
      </c>
      <c r="AA49" s="260">
        <f>'Table 5C3 - LA Connections  '!AD48</f>
        <v>-52</v>
      </c>
      <c r="AB49" s="301">
        <f t="shared" si="3"/>
        <v>29122065.853331096</v>
      </c>
      <c r="AC49" s="256"/>
      <c r="AI49"/>
      <c r="AR49"/>
    </row>
    <row r="50" spans="1:44">
      <c r="A50" s="266">
        <v>45</v>
      </c>
      <c r="B50" s="267" t="s">
        <v>220</v>
      </c>
      <c r="C50" s="268">
        <f>'Table 2 Distributions &amp; Adjust'!U51</f>
        <v>30033859</v>
      </c>
      <c r="D50" s="269"/>
      <c r="E50" s="269"/>
      <c r="F50" s="269"/>
      <c r="G50" s="269"/>
      <c r="H50" s="305">
        <f>-'Table 5C1 - Type 2s'!AB44-'Table 5C1 - Type 2s'!AE44</f>
        <v>-9563</v>
      </c>
      <c r="I50" s="269">
        <f>-'Table 5C1 - Type 2s'!AB63-'Table 5C1 - Type 2s'!AE63</f>
        <v>-4781.5</v>
      </c>
      <c r="J50" s="269"/>
      <c r="K50" s="269"/>
      <c r="L50" s="269"/>
      <c r="M50" s="269">
        <f>-'Table 5C2 - LA Virtual Admy '!AC49-'Table 5C2 - LA Virtual Admy '!AF49</f>
        <v>-19386</v>
      </c>
      <c r="N50" s="269">
        <f>-'Table 5C3 - LA Connections  '!AC49-'Table 5C3 - LA Connections  '!AF49</f>
        <v>-53311.5</v>
      </c>
      <c r="O50" s="269">
        <f>-'Table 5E_OJJ'!O51</f>
        <v>-9896.4523754412367</v>
      </c>
      <c r="P50" s="302">
        <f t="shared" si="2"/>
        <v>29936920.547624558</v>
      </c>
      <c r="Q50" s="269"/>
      <c r="R50" s="269"/>
      <c r="S50" s="269"/>
      <c r="T50" s="269"/>
      <c r="U50" s="269"/>
      <c r="V50" s="305">
        <f>'Table 5C1 - Type 2s'!AC44</f>
        <v>-23.907499999999999</v>
      </c>
      <c r="W50" s="269">
        <f>'Table 5C1 - Type 2s'!AC63</f>
        <v>-11.953749999999999</v>
      </c>
      <c r="X50" s="269"/>
      <c r="Y50" s="269"/>
      <c r="Z50" s="269">
        <f>'Table 5C2 - LA Virtual Admy '!AD49</f>
        <v>-48</v>
      </c>
      <c r="AA50" s="269">
        <f>'Table 5C3 - LA Connections  '!AD49</f>
        <v>-133</v>
      </c>
      <c r="AB50" s="302">
        <f t="shared" si="3"/>
        <v>29936703.68637456</v>
      </c>
      <c r="AC50" s="256"/>
      <c r="AI50"/>
      <c r="AR50"/>
    </row>
    <row r="51" spans="1:44">
      <c r="A51" s="257">
        <v>46</v>
      </c>
      <c r="B51" s="258" t="s">
        <v>78</v>
      </c>
      <c r="C51" s="259">
        <f>'Table 2 Distributions &amp; Adjust'!U52</f>
        <v>4914596</v>
      </c>
      <c r="D51" s="260">
        <f>-'Table 5B2_RSD_LA'!AE35-'Table 5B2_RSD_LA'!AJ35</f>
        <v>-327102</v>
      </c>
      <c r="E51" s="260"/>
      <c r="F51" s="260"/>
      <c r="G51" s="260"/>
      <c r="H51" s="260"/>
      <c r="I51" s="260"/>
      <c r="J51" s="260"/>
      <c r="K51" s="260"/>
      <c r="L51" s="260"/>
      <c r="M51" s="260">
        <f>-'Table 5C2 - LA Virtual Admy '!AC50-'Table 5C2 - LA Virtual Admy '!AF50</f>
        <v>-9536.4000000000015</v>
      </c>
      <c r="N51" s="260">
        <f>-'Table 5C3 - LA Connections  '!AC50-'Table 5C3 - LA Connections  '!AF50</f>
        <v>0</v>
      </c>
      <c r="O51" s="260">
        <f>-'Table 5E_OJJ'!O52</f>
        <v>0</v>
      </c>
      <c r="P51" s="301">
        <f t="shared" si="2"/>
        <v>4577957.5999999996</v>
      </c>
      <c r="Q51" s="260"/>
      <c r="R51" s="260"/>
      <c r="S51" s="260"/>
      <c r="T51" s="260"/>
      <c r="U51" s="260"/>
      <c r="V51" s="260"/>
      <c r="W51" s="260"/>
      <c r="X51" s="260"/>
      <c r="Y51" s="260"/>
      <c r="Z51" s="260">
        <f>'Table 5C2 - LA Virtual Admy '!AD50</f>
        <v>-24</v>
      </c>
      <c r="AA51" s="260">
        <f>'Table 5C3 - LA Connections  '!AD50</f>
        <v>0</v>
      </c>
      <c r="AB51" s="301">
        <f t="shared" si="3"/>
        <v>4577933.5999999996</v>
      </c>
      <c r="AC51" s="256"/>
      <c r="AI51"/>
      <c r="AR51"/>
    </row>
    <row r="52" spans="1:44">
      <c r="A52" s="257">
        <v>47</v>
      </c>
      <c r="B52" s="258" t="s">
        <v>221</v>
      </c>
      <c r="C52" s="259">
        <f>'Table 2 Distributions &amp; Adjust'!U53</f>
        <v>15836648</v>
      </c>
      <c r="D52" s="260"/>
      <c r="E52" s="260"/>
      <c r="F52" s="260"/>
      <c r="G52" s="260"/>
      <c r="H52" s="260"/>
      <c r="I52" s="260"/>
      <c r="J52" s="260"/>
      <c r="K52" s="260"/>
      <c r="L52" s="260"/>
      <c r="M52" s="260">
        <f>-'Table 5C2 - LA Virtual Admy '!AC51-'Table 5C2 - LA Virtual Admy '!AF51</f>
        <v>-39507.75</v>
      </c>
      <c r="N52" s="260">
        <f>-'Table 5C3 - LA Connections  '!AC51-'Table 5C3 - LA Connections  '!AF51</f>
        <v>0</v>
      </c>
      <c r="O52" s="260">
        <f>-'Table 5E_OJJ'!O53</f>
        <v>0</v>
      </c>
      <c r="P52" s="301">
        <f t="shared" si="2"/>
        <v>15797140.25</v>
      </c>
      <c r="Q52" s="260"/>
      <c r="R52" s="260"/>
      <c r="S52" s="260"/>
      <c r="T52" s="260"/>
      <c r="U52" s="260"/>
      <c r="V52" s="260"/>
      <c r="W52" s="260"/>
      <c r="X52" s="260"/>
      <c r="Y52" s="260"/>
      <c r="Z52" s="260">
        <f>'Table 5C2 - LA Virtual Admy '!AD51</f>
        <v>-99</v>
      </c>
      <c r="AA52" s="260">
        <f>'Table 5C3 - LA Connections  '!AD51</f>
        <v>0</v>
      </c>
      <c r="AB52" s="301">
        <f t="shared" si="3"/>
        <v>15797041.25</v>
      </c>
      <c r="AC52" s="256"/>
      <c r="AI52"/>
      <c r="AR52"/>
    </row>
    <row r="53" spans="1:44">
      <c r="A53" s="257">
        <v>48</v>
      </c>
      <c r="B53" s="258" t="s">
        <v>222</v>
      </c>
      <c r="C53" s="259">
        <f>'Table 2 Distributions &amp; Adjust'!U54</f>
        <v>26638707</v>
      </c>
      <c r="D53" s="260"/>
      <c r="E53" s="260"/>
      <c r="F53" s="260"/>
      <c r="G53" s="260"/>
      <c r="H53" s="260">
        <f>-'Table 5C1 - Type 2s'!AB45-'Table 5C1 - Type 2s'!AE45</f>
        <v>-8302</v>
      </c>
      <c r="I53" s="260"/>
      <c r="J53" s="260"/>
      <c r="K53" s="260"/>
      <c r="L53" s="260"/>
      <c r="M53" s="260">
        <f>-'Table 5C2 - LA Virtual Admy '!AC52-'Table 5C2 - LA Virtual Admy '!AF52</f>
        <v>-46224</v>
      </c>
      <c r="N53" s="260">
        <f>-'Table 5C3 - LA Connections  '!AC52-'Table 5C3 - LA Connections  '!AF52</f>
        <v>-13867.2</v>
      </c>
      <c r="O53" s="260">
        <f>-'Table 5E_OJJ'!O54</f>
        <v>-5723.4205253188775</v>
      </c>
      <c r="P53" s="301">
        <f t="shared" si="2"/>
        <v>26564590.379474681</v>
      </c>
      <c r="Q53" s="260"/>
      <c r="R53" s="260"/>
      <c r="S53" s="260"/>
      <c r="T53" s="260"/>
      <c r="U53" s="260"/>
      <c r="V53" s="260">
        <f>'Table 5C1 - Type 2s'!AC45</f>
        <v>-20.754999999999999</v>
      </c>
      <c r="W53" s="260"/>
      <c r="X53" s="260"/>
      <c r="Y53" s="260"/>
      <c r="Z53" s="260">
        <f>'Table 5C2 - LA Virtual Admy '!AD52</f>
        <v>-116</v>
      </c>
      <c r="AA53" s="260">
        <f>'Table 5C3 - LA Connections  '!AD52</f>
        <v>-35</v>
      </c>
      <c r="AB53" s="301">
        <f t="shared" si="3"/>
        <v>26564418.624474682</v>
      </c>
      <c r="AC53" s="256"/>
      <c r="AI53"/>
      <c r="AR53"/>
    </row>
    <row r="54" spans="1:44">
      <c r="A54" s="257">
        <v>49</v>
      </c>
      <c r="B54" s="258" t="s">
        <v>223</v>
      </c>
      <c r="C54" s="259">
        <f>'Table 2 Distributions &amp; Adjust'!U55</f>
        <v>78162689</v>
      </c>
      <c r="D54" s="260"/>
      <c r="E54" s="260"/>
      <c r="F54" s="260"/>
      <c r="G54" s="260"/>
      <c r="H54" s="260"/>
      <c r="I54" s="260"/>
      <c r="J54" s="260"/>
      <c r="K54" s="260"/>
      <c r="L54" s="260"/>
      <c r="M54" s="260">
        <f>-'Table 5C2 - LA Virtual Admy '!AC53-'Table 5C2 - LA Virtual Admy '!AF53</f>
        <v>-95546.25</v>
      </c>
      <c r="N54" s="260">
        <f>-'Table 5C3 - LA Connections  '!AC53-'Table 5C3 - LA Connections  '!AF53</f>
        <v>-19109.25</v>
      </c>
      <c r="O54" s="260">
        <f>-'Table 5E_OJJ'!O55</f>
        <v>-13929.68899869427</v>
      </c>
      <c r="P54" s="301">
        <f t="shared" si="2"/>
        <v>78034103.811001301</v>
      </c>
      <c r="Q54" s="260"/>
      <c r="R54" s="260"/>
      <c r="S54" s="260"/>
      <c r="T54" s="260"/>
      <c r="U54" s="260"/>
      <c r="V54" s="260"/>
      <c r="W54" s="260"/>
      <c r="X54" s="260"/>
      <c r="Y54" s="260"/>
      <c r="Z54" s="260">
        <f>'Table 5C2 - LA Virtual Admy '!AD53</f>
        <v>-239</v>
      </c>
      <c r="AA54" s="260">
        <f>'Table 5C3 - LA Connections  '!AD53</f>
        <v>-48</v>
      </c>
      <c r="AB54" s="301">
        <f t="shared" si="3"/>
        <v>78033816.811001301</v>
      </c>
      <c r="AC54" s="256"/>
      <c r="AI54"/>
      <c r="AR54"/>
    </row>
    <row r="55" spans="1:44">
      <c r="A55" s="266">
        <v>50</v>
      </c>
      <c r="B55" s="267" t="s">
        <v>224</v>
      </c>
      <c r="C55" s="268">
        <f>'Table 2 Distributions &amp; Adjust'!U56</f>
        <v>45656314</v>
      </c>
      <c r="D55" s="269"/>
      <c r="E55" s="269"/>
      <c r="F55" s="269"/>
      <c r="G55" s="269"/>
      <c r="H55" s="269"/>
      <c r="I55" s="269"/>
      <c r="J55" s="269"/>
      <c r="K55" s="269"/>
      <c r="L55" s="269"/>
      <c r="M55" s="269">
        <f>-'Table 5C2 - LA Virtual Admy '!AC54-'Table 5C2 - LA Virtual Admy '!AF54</f>
        <v>-23946.3</v>
      </c>
      <c r="N55" s="269">
        <f>-'Table 5C3 - LA Connections  '!AC54-'Table 5C3 - LA Connections  '!AF54</f>
        <v>-36489.599999999999</v>
      </c>
      <c r="O55" s="269">
        <f>-'Table 5E_OJJ'!O56</f>
        <v>-14180.111635111725</v>
      </c>
      <c r="P55" s="302">
        <f t="shared" si="2"/>
        <v>45581697.98836489</v>
      </c>
      <c r="Q55" s="269"/>
      <c r="R55" s="269"/>
      <c r="S55" s="269"/>
      <c r="T55" s="269"/>
      <c r="U55" s="269"/>
      <c r="V55" s="269"/>
      <c r="W55" s="269"/>
      <c r="X55" s="269"/>
      <c r="Y55" s="269"/>
      <c r="Z55" s="269">
        <f>'Table 5C2 - LA Virtual Admy '!AD54</f>
        <v>-60</v>
      </c>
      <c r="AA55" s="269">
        <f>'Table 5C3 - LA Connections  '!AD54</f>
        <v>-91</v>
      </c>
      <c r="AB55" s="302">
        <f t="shared" si="3"/>
        <v>45581546.98836489</v>
      </c>
      <c r="AC55" s="256"/>
      <c r="AI55"/>
      <c r="AR55"/>
    </row>
    <row r="56" spans="1:44">
      <c r="A56" s="257">
        <v>51</v>
      </c>
      <c r="B56" s="258" t="s">
        <v>225</v>
      </c>
      <c r="C56" s="259">
        <f>'Table 2 Distributions &amp; Adjust'!U57</f>
        <v>47523158</v>
      </c>
      <c r="D56" s="260"/>
      <c r="E56" s="260"/>
      <c r="F56" s="260"/>
      <c r="G56" s="260"/>
      <c r="H56" s="260"/>
      <c r="I56" s="260"/>
      <c r="J56" s="260"/>
      <c r="K56" s="260"/>
      <c r="L56" s="260"/>
      <c r="M56" s="260">
        <f>-'Table 5C2 - LA Virtual Admy '!AC55-'Table 5C2 - LA Virtual Admy '!AF55</f>
        <v>-45472.5</v>
      </c>
      <c r="N56" s="260">
        <f>-'Table 5C3 - LA Connections  '!AC55-'Table 5C3 - LA Connections  '!AF55</f>
        <v>-18189</v>
      </c>
      <c r="O56" s="260">
        <f>-'Table 5E_OJJ'!O57</f>
        <v>-12942.258632779745</v>
      </c>
      <c r="P56" s="301">
        <f t="shared" si="2"/>
        <v>47446554.241367221</v>
      </c>
      <c r="Q56" s="260"/>
      <c r="R56" s="260"/>
      <c r="S56" s="260"/>
      <c r="T56" s="260"/>
      <c r="U56" s="260"/>
      <c r="V56" s="260"/>
      <c r="W56" s="260"/>
      <c r="X56" s="260"/>
      <c r="Y56" s="260"/>
      <c r="Z56" s="260">
        <f>'Table 5C2 - LA Virtual Admy '!AD55</f>
        <v>-114</v>
      </c>
      <c r="AA56" s="260">
        <f>'Table 5C3 - LA Connections  '!AD55</f>
        <v>-45</v>
      </c>
      <c r="AB56" s="301">
        <f t="shared" si="3"/>
        <v>47446395.241367221</v>
      </c>
      <c r="AC56" s="256"/>
      <c r="AI56"/>
      <c r="AR56"/>
    </row>
    <row r="57" spans="1:44">
      <c r="A57" s="257">
        <v>52</v>
      </c>
      <c r="B57" s="258" t="s">
        <v>226</v>
      </c>
      <c r="C57" s="259">
        <f>'Table 2 Distributions &amp; Adjust'!U58</f>
        <v>205695990</v>
      </c>
      <c r="D57" s="260"/>
      <c r="E57" s="260"/>
      <c r="F57" s="260"/>
      <c r="G57" s="260"/>
      <c r="H57" s="260">
        <f>-'Table 5C1 - Type 2s'!AB46</f>
        <v>-3984</v>
      </c>
      <c r="I57" s="260">
        <f>-'Table 5C1 - Type 2s'!AB64-'Table 5C1 - Type 2s'!AE64</f>
        <v>-1992</v>
      </c>
      <c r="J57" s="260"/>
      <c r="K57" s="260"/>
      <c r="L57" s="260"/>
      <c r="M57" s="260">
        <f>-'Table 5C2 - LA Virtual Admy '!AC56-'Table 5C2 - LA Virtual Admy '!AF56</f>
        <v>-295106.39999999997</v>
      </c>
      <c r="N57" s="260">
        <f>-'Table 5C3 - LA Connections  '!AC56-'Table 5C3 - LA Connections  '!AF56</f>
        <v>-210480.30000000002</v>
      </c>
      <c r="O57" s="260">
        <f>-'Table 5E_OJJ'!O58</f>
        <v>-41978.329287971792</v>
      </c>
      <c r="P57" s="301">
        <f t="shared" si="2"/>
        <v>205142448.97071201</v>
      </c>
      <c r="Q57" s="260"/>
      <c r="R57" s="260"/>
      <c r="S57" s="260"/>
      <c r="T57" s="260"/>
      <c r="U57" s="260"/>
      <c r="V57" s="260">
        <f>'Table 5C1 - Type 2s'!AC46</f>
        <v>-9.9600000000000009</v>
      </c>
      <c r="W57" s="260">
        <f>'Table 5C1 - Type 2s'!AC64</f>
        <v>-4.9800000000000004</v>
      </c>
      <c r="X57" s="260"/>
      <c r="Y57" s="260"/>
      <c r="Z57" s="260">
        <f>'Table 5C2 - LA Virtual Admy '!AD56</f>
        <v>-738</v>
      </c>
      <c r="AA57" s="260">
        <f>'Table 5C3 - LA Connections  '!AD56</f>
        <v>-526</v>
      </c>
      <c r="AB57" s="301">
        <f t="shared" si="3"/>
        <v>205141170.03071201</v>
      </c>
      <c r="AC57" s="256"/>
      <c r="AI57"/>
      <c r="AR57"/>
    </row>
    <row r="58" spans="1:44">
      <c r="A58" s="257">
        <v>53</v>
      </c>
      <c r="B58" s="258" t="s">
        <v>227</v>
      </c>
      <c r="C58" s="259">
        <f>'Table 2 Distributions &amp; Adjust'!U59</f>
        <v>102781772</v>
      </c>
      <c r="D58" s="260"/>
      <c r="E58" s="260"/>
      <c r="F58" s="260"/>
      <c r="G58" s="260"/>
      <c r="H58" s="260"/>
      <c r="I58" s="260"/>
      <c r="J58" s="260"/>
      <c r="K58" s="260"/>
      <c r="L58" s="260"/>
      <c r="M58" s="260">
        <f>-'Table 5C2 - LA Virtual Admy '!AC57-'Table 5C2 - LA Virtual Admy '!AF57</f>
        <v>-88036.2</v>
      </c>
      <c r="N58" s="260">
        <f>-'Table 5C3 - LA Connections  '!AC57-'Table 5C3 - LA Connections  '!AF57</f>
        <v>-39702.6</v>
      </c>
      <c r="O58" s="260">
        <f>-'Table 5E_OJJ'!O59</f>
        <v>-13474.378664157259</v>
      </c>
      <c r="P58" s="301">
        <f t="shared" si="2"/>
        <v>102640558.82133585</v>
      </c>
      <c r="Q58" s="260"/>
      <c r="R58" s="260"/>
      <c r="S58" s="260"/>
      <c r="T58" s="260"/>
      <c r="U58" s="260"/>
      <c r="V58" s="260"/>
      <c r="W58" s="260"/>
      <c r="X58" s="260"/>
      <c r="Y58" s="260"/>
      <c r="Z58" s="260">
        <f>'Table 5C2 - LA Virtual Admy '!AD57</f>
        <v>-220</v>
      </c>
      <c r="AA58" s="260">
        <f>'Table 5C3 - LA Connections  '!AD57</f>
        <v>-99</v>
      </c>
      <c r="AB58" s="301">
        <f t="shared" si="3"/>
        <v>102640239.82133585</v>
      </c>
      <c r="AC58" s="256"/>
      <c r="AI58"/>
      <c r="AR58"/>
    </row>
    <row r="59" spans="1:44">
      <c r="A59" s="257">
        <v>54</v>
      </c>
      <c r="B59" s="258" t="s">
        <v>228</v>
      </c>
      <c r="C59" s="259">
        <f>'Table 2 Distributions &amp; Adjust'!U60</f>
        <v>4633450</v>
      </c>
      <c r="D59" s="260"/>
      <c r="E59" s="260"/>
      <c r="F59" s="260"/>
      <c r="G59" s="260"/>
      <c r="H59" s="260"/>
      <c r="I59" s="260"/>
      <c r="J59" s="260"/>
      <c r="K59" s="260"/>
      <c r="L59" s="260"/>
      <c r="M59" s="260">
        <f>-'Table 5C2 - LA Virtual Admy '!AC58-'Table 5C2 - LA Virtual Admy '!AF58</f>
        <v>0</v>
      </c>
      <c r="N59" s="260">
        <f>-'Table 5C3 - LA Connections  '!AC58-'Table 5C3 - LA Connections  '!AF58</f>
        <v>-5311.8</v>
      </c>
      <c r="O59" s="260">
        <f>-'Table 5E_OJJ'!O60</f>
        <v>-2744.0128538941144</v>
      </c>
      <c r="P59" s="301">
        <f t="shared" si="2"/>
        <v>4625394.1871461058</v>
      </c>
      <c r="Q59" s="260"/>
      <c r="R59" s="260"/>
      <c r="S59" s="260"/>
      <c r="T59" s="260"/>
      <c r="U59" s="260"/>
      <c r="V59" s="260"/>
      <c r="W59" s="260"/>
      <c r="X59" s="260"/>
      <c r="Y59" s="260"/>
      <c r="Z59" s="260">
        <f>'Table 5C2 - LA Virtual Admy '!AD58</f>
        <v>0</v>
      </c>
      <c r="AA59" s="260">
        <f>'Table 5C3 - LA Connections  '!AD58</f>
        <v>-13</v>
      </c>
      <c r="AB59" s="301">
        <f t="shared" si="3"/>
        <v>4625381.1871461058</v>
      </c>
      <c r="AC59" s="256"/>
      <c r="AI59"/>
      <c r="AR59"/>
    </row>
    <row r="60" spans="1:44">
      <c r="A60" s="266">
        <v>55</v>
      </c>
      <c r="B60" s="267" t="s">
        <v>229</v>
      </c>
      <c r="C60" s="268">
        <f>'Table 2 Distributions &amp; Adjust'!U61</f>
        <v>85930658</v>
      </c>
      <c r="D60" s="269"/>
      <c r="E60" s="269"/>
      <c r="F60" s="269"/>
      <c r="G60" s="269"/>
      <c r="H60" s="269"/>
      <c r="I60" s="269"/>
      <c r="J60" s="269"/>
      <c r="K60" s="269"/>
      <c r="L60" s="269"/>
      <c r="M60" s="269">
        <f>-'Table 5C2 - LA Virtual Admy '!AC59-'Table 5C2 - LA Virtual Admy '!AF59</f>
        <v>-61195.5</v>
      </c>
      <c r="N60" s="269">
        <f>-'Table 5C3 - LA Connections  '!AC59-'Table 5C3 - LA Connections  '!AF59</f>
        <v>-35357.400000000009</v>
      </c>
      <c r="O60" s="269">
        <f>-'Table 5E_OJJ'!O61</f>
        <v>-26680.073629143903</v>
      </c>
      <c r="P60" s="302">
        <f t="shared" si="2"/>
        <v>85807425.026370853</v>
      </c>
      <c r="Q60" s="269"/>
      <c r="R60" s="269"/>
      <c r="S60" s="269"/>
      <c r="T60" s="269"/>
      <c r="U60" s="269"/>
      <c r="V60" s="269"/>
      <c r="W60" s="269"/>
      <c r="X60" s="269"/>
      <c r="Y60" s="269"/>
      <c r="Z60" s="269">
        <f>'Table 5C2 - LA Virtual Admy '!AD59</f>
        <v>-153</v>
      </c>
      <c r="AA60" s="269">
        <f>'Table 5C3 - LA Connections  '!AD59</f>
        <v>-88</v>
      </c>
      <c r="AB60" s="302">
        <f t="shared" si="3"/>
        <v>85807184.026370853</v>
      </c>
      <c r="AC60" s="256"/>
      <c r="AI60"/>
      <c r="AR60"/>
    </row>
    <row r="61" spans="1:44">
      <c r="A61" s="257">
        <v>56</v>
      </c>
      <c r="B61" s="258" t="s">
        <v>230</v>
      </c>
      <c r="C61" s="259">
        <f>'Table 2 Distributions &amp; Adjust'!U62</f>
        <v>14197023</v>
      </c>
      <c r="D61" s="260"/>
      <c r="E61" s="260"/>
      <c r="F61" s="260"/>
      <c r="G61" s="260">
        <f>-'Table 5C1 - Type 2s'!AB24-'Table 5C1 - Type 2s'!AE24</f>
        <v>-1044347.5</v>
      </c>
      <c r="H61" s="260"/>
      <c r="I61" s="260"/>
      <c r="J61" s="260"/>
      <c r="K61" s="260"/>
      <c r="L61" s="260"/>
      <c r="M61" s="260">
        <f>-'Table 5C2 - LA Virtual Admy '!AC60-'Table 5C2 - LA Virtual Admy '!AF60</f>
        <v>-18301.5</v>
      </c>
      <c r="N61" s="260">
        <f>-'Table 5C3 - LA Connections  '!AC60-'Table 5C3 - LA Connections  '!AF60</f>
        <v>-6536.25</v>
      </c>
      <c r="O61" s="260">
        <f>-'Table 5E_OJJ'!O62</f>
        <v>0</v>
      </c>
      <c r="P61" s="301">
        <f t="shared" si="2"/>
        <v>13127837.75</v>
      </c>
      <c r="Q61" s="260"/>
      <c r="R61" s="260"/>
      <c r="S61" s="260"/>
      <c r="T61" s="260"/>
      <c r="U61" s="260">
        <f>'Table 5C1 - Type 2s'!AC24</f>
        <v>-2610.8687500000001</v>
      </c>
      <c r="V61" s="260"/>
      <c r="W61" s="260"/>
      <c r="X61" s="260"/>
      <c r="Y61" s="260"/>
      <c r="Z61" s="260">
        <f>'Table 5C2 - LA Virtual Admy '!AD60</f>
        <v>-46</v>
      </c>
      <c r="AA61" s="260">
        <f>'Table 5C3 - LA Connections  '!AD60</f>
        <v>-16</v>
      </c>
      <c r="AB61" s="301">
        <f t="shared" si="3"/>
        <v>13125164.88125</v>
      </c>
      <c r="AC61" s="256"/>
      <c r="AI61"/>
      <c r="AR61"/>
    </row>
    <row r="62" spans="1:44">
      <c r="A62" s="257">
        <v>57</v>
      </c>
      <c r="B62" s="258" t="s">
        <v>231</v>
      </c>
      <c r="C62" s="259">
        <f>'Table 2 Distributions &amp; Adjust'!U63</f>
        <v>46758007</v>
      </c>
      <c r="D62" s="260"/>
      <c r="E62" s="260"/>
      <c r="F62" s="260"/>
      <c r="G62" s="260"/>
      <c r="H62" s="260"/>
      <c r="I62" s="260"/>
      <c r="J62" s="260"/>
      <c r="K62" s="260"/>
      <c r="L62" s="260"/>
      <c r="M62" s="260">
        <f>-'Table 5C2 - LA Virtual Admy '!AC61-'Table 5C2 - LA Virtual Admy '!AF61</f>
        <v>-28680.75</v>
      </c>
      <c r="N62" s="260">
        <f>-'Table 5C3 - LA Connections  '!AC61-'Table 5C3 - LA Connections  '!AF61</f>
        <v>-17754.75</v>
      </c>
      <c r="O62" s="260">
        <f>-'Table 5E_OJJ'!O63</f>
        <v>-9346.1385487139905</v>
      </c>
      <c r="P62" s="301">
        <f t="shared" si="2"/>
        <v>46702225.361451283</v>
      </c>
      <c r="Q62" s="260"/>
      <c r="R62" s="260"/>
      <c r="S62" s="260"/>
      <c r="T62" s="260"/>
      <c r="U62" s="260"/>
      <c r="V62" s="260"/>
      <c r="W62" s="260"/>
      <c r="X62" s="260"/>
      <c r="Y62" s="260"/>
      <c r="Z62" s="260">
        <f>'Table 5C2 - LA Virtual Admy '!AD61</f>
        <v>-72</v>
      </c>
      <c r="AA62" s="260">
        <f>'Table 5C3 - LA Connections  '!AD61</f>
        <v>-44</v>
      </c>
      <c r="AB62" s="301">
        <f t="shared" si="3"/>
        <v>46702109.361451283</v>
      </c>
      <c r="AC62" s="256"/>
      <c r="AI62"/>
      <c r="AR62"/>
    </row>
    <row r="63" spans="1:44">
      <c r="A63" s="257">
        <v>58</v>
      </c>
      <c r="B63" s="258" t="s">
        <v>232</v>
      </c>
      <c r="C63" s="259">
        <f>'Table 2 Distributions &amp; Adjust'!U64</f>
        <v>56464877</v>
      </c>
      <c r="D63" s="260"/>
      <c r="E63" s="260"/>
      <c r="F63" s="260"/>
      <c r="G63" s="260"/>
      <c r="H63" s="260"/>
      <c r="I63" s="260"/>
      <c r="J63" s="260"/>
      <c r="K63" s="260"/>
      <c r="L63" s="260"/>
      <c r="M63" s="260">
        <f>-'Table 5C2 - LA Virtual Admy '!AC62-'Table 5C2 - LA Virtual Admy '!AF62</f>
        <v>-51945.3</v>
      </c>
      <c r="N63" s="260">
        <f>-'Table 5C3 - LA Connections  '!AC62-'Table 5C3 - LA Connections  '!AF62</f>
        <v>-19676.250000000004</v>
      </c>
      <c r="O63" s="260">
        <f>-'Table 5E_OJJ'!O64</f>
        <v>-4144.5846672197631</v>
      </c>
      <c r="P63" s="301">
        <f t="shared" si="2"/>
        <v>56389110.865332782</v>
      </c>
      <c r="Q63" s="260"/>
      <c r="R63" s="260"/>
      <c r="S63" s="260"/>
      <c r="T63" s="260"/>
      <c r="U63" s="260"/>
      <c r="V63" s="260"/>
      <c r="W63" s="260"/>
      <c r="X63" s="260"/>
      <c r="Y63" s="260"/>
      <c r="Z63" s="260">
        <f>'Table 5C2 - LA Virtual Admy '!AD62</f>
        <v>-130</v>
      </c>
      <c r="AA63" s="260">
        <f>'Table 5C3 - LA Connections  '!AD62</f>
        <v>-49</v>
      </c>
      <c r="AB63" s="301">
        <f t="shared" si="3"/>
        <v>56388931.865332782</v>
      </c>
      <c r="AC63" s="256"/>
      <c r="AI63"/>
      <c r="AR63"/>
    </row>
    <row r="64" spans="1:44">
      <c r="A64" s="257">
        <v>59</v>
      </c>
      <c r="B64" s="258" t="s">
        <v>233</v>
      </c>
      <c r="C64" s="259">
        <f>'Table 2 Distributions &amp; Adjust'!U65</f>
        <v>35603560</v>
      </c>
      <c r="D64" s="260"/>
      <c r="E64" s="260"/>
      <c r="F64" s="260"/>
      <c r="G64" s="260"/>
      <c r="H64" s="260"/>
      <c r="I64" s="260"/>
      <c r="J64" s="260"/>
      <c r="K64" s="260"/>
      <c r="L64" s="260"/>
      <c r="M64" s="260">
        <f>-'Table 5C2 - LA Virtual Admy '!AC63-'Table 5C2 - LA Virtual Admy '!AF63</f>
        <v>-11097</v>
      </c>
      <c r="N64" s="260">
        <f>-'Table 5C3 - LA Connections  '!AC63-'Table 5C3 - LA Connections  '!AF63</f>
        <v>-12576.6</v>
      </c>
      <c r="O64" s="260">
        <f>-'Table 5E_OJJ'!O65</f>
        <v>-3472.3386587183427</v>
      </c>
      <c r="P64" s="301">
        <f t="shared" si="2"/>
        <v>35576414.061341278</v>
      </c>
      <c r="Q64" s="260"/>
      <c r="R64" s="260"/>
      <c r="S64" s="260"/>
      <c r="T64" s="260"/>
      <c r="U64" s="260"/>
      <c r="V64" s="260"/>
      <c r="W64" s="260"/>
      <c r="X64" s="260"/>
      <c r="Y64" s="260"/>
      <c r="Z64" s="260">
        <f>'Table 5C2 - LA Virtual Admy '!AD63</f>
        <v>-28</v>
      </c>
      <c r="AA64" s="260">
        <f>'Table 5C3 - LA Connections  '!AD63</f>
        <v>-31</v>
      </c>
      <c r="AB64" s="301">
        <f t="shared" si="3"/>
        <v>35576355.061341278</v>
      </c>
      <c r="AC64" s="256"/>
      <c r="AI64"/>
      <c r="AR64"/>
    </row>
    <row r="65" spans="1:44">
      <c r="A65" s="266">
        <v>60</v>
      </c>
      <c r="B65" s="267" t="s">
        <v>234</v>
      </c>
      <c r="C65" s="268">
        <f>'Table 2 Distributions &amp; Adjust'!U66</f>
        <v>35573824</v>
      </c>
      <c r="D65" s="269"/>
      <c r="E65" s="269"/>
      <c r="F65" s="269"/>
      <c r="G65" s="269"/>
      <c r="H65" s="269"/>
      <c r="I65" s="269"/>
      <c r="J65" s="269"/>
      <c r="K65" s="269"/>
      <c r="L65" s="269"/>
      <c r="M65" s="269">
        <f>-'Table 5C2 - LA Virtual Admy '!AC64-'Table 5C2 - LA Virtual Admy '!AF64</f>
        <v>-53819.100000000006</v>
      </c>
      <c r="N65" s="269">
        <f>-'Table 5C3 - LA Connections  '!AC64-'Table 5C3 - LA Connections  '!AF64</f>
        <v>-57291.3</v>
      </c>
      <c r="O65" s="269">
        <f>-'Table 5E_OJJ'!O66</f>
        <v>-3900.1279847063388</v>
      </c>
      <c r="P65" s="302">
        <f t="shared" si="2"/>
        <v>35458813.472015291</v>
      </c>
      <c r="Q65" s="269"/>
      <c r="R65" s="269"/>
      <c r="S65" s="269"/>
      <c r="T65" s="269"/>
      <c r="U65" s="269"/>
      <c r="V65" s="269"/>
      <c r="W65" s="269"/>
      <c r="X65" s="269"/>
      <c r="Y65" s="269"/>
      <c r="Z65" s="269">
        <f>'Table 5C2 - LA Virtual Admy '!AD64</f>
        <v>-135</v>
      </c>
      <c r="AA65" s="269">
        <f>'Table 5C3 - LA Connections  '!AD64</f>
        <v>-143</v>
      </c>
      <c r="AB65" s="302">
        <f t="shared" si="3"/>
        <v>35458535.472015291</v>
      </c>
      <c r="AC65" s="256"/>
      <c r="AI65"/>
      <c r="AR65"/>
    </row>
    <row r="66" spans="1:44">
      <c r="A66" s="257">
        <v>61</v>
      </c>
      <c r="B66" s="258" t="s">
        <v>235</v>
      </c>
      <c r="C66" s="259">
        <f>'Table 2 Distributions &amp; Adjust'!U67</f>
        <v>13307460</v>
      </c>
      <c r="D66" s="260"/>
      <c r="E66" s="260"/>
      <c r="F66" s="260"/>
      <c r="G66" s="260"/>
      <c r="H66" s="260"/>
      <c r="I66" s="260"/>
      <c r="J66" s="260"/>
      <c r="K66" s="260"/>
      <c r="L66" s="260"/>
      <c r="M66" s="260">
        <f>-'Table 5C2 - LA Virtual Admy '!AC65-'Table 5C2 - LA Virtual Admy '!AF65</f>
        <v>-81607.5</v>
      </c>
      <c r="N66" s="260">
        <f>-'Table 5C3 - LA Connections  '!AC65-'Table 5C3 - LA Connections  '!AF65</f>
        <v>0</v>
      </c>
      <c r="O66" s="260">
        <f>-'Table 5E_OJJ'!O67</f>
        <v>-37655.399572274844</v>
      </c>
      <c r="P66" s="301">
        <f t="shared" si="2"/>
        <v>13188197.100427724</v>
      </c>
      <c r="Q66" s="260"/>
      <c r="R66" s="260"/>
      <c r="S66" s="260"/>
      <c r="T66" s="260"/>
      <c r="U66" s="260"/>
      <c r="V66" s="260"/>
      <c r="W66" s="260"/>
      <c r="X66" s="260"/>
      <c r="Y66" s="260"/>
      <c r="Z66" s="260">
        <f>'Table 5C2 - LA Virtual Admy '!AD65</f>
        <v>-204</v>
      </c>
      <c r="AA66" s="260">
        <f>'Table 5C3 - LA Connections  '!AD65</f>
        <v>0</v>
      </c>
      <c r="AB66" s="301">
        <f t="shared" si="3"/>
        <v>13187993.100427724</v>
      </c>
      <c r="AC66" s="256"/>
      <c r="AI66"/>
      <c r="AR66"/>
    </row>
    <row r="67" spans="1:44">
      <c r="A67" s="257">
        <v>62</v>
      </c>
      <c r="B67" s="258" t="s">
        <v>236</v>
      </c>
      <c r="C67" s="259">
        <f>'Table 2 Distributions &amp; Adjust'!U68</f>
        <v>12583589</v>
      </c>
      <c r="D67" s="260"/>
      <c r="E67" s="260"/>
      <c r="F67" s="260"/>
      <c r="G67" s="260"/>
      <c r="H67" s="260"/>
      <c r="I67" s="260"/>
      <c r="J67" s="260"/>
      <c r="K67" s="260"/>
      <c r="L67" s="260"/>
      <c r="M67" s="260">
        <f>-'Table 5C2 - LA Virtual Admy '!AC66-'Table 5C2 - LA Virtual Admy '!AF66</f>
        <v>-3025.8000000000006</v>
      </c>
      <c r="N67" s="260">
        <f>-'Table 5C3 - LA Connections  '!AC66-'Table 5C3 - LA Connections  '!AF66</f>
        <v>-3025.8000000000006</v>
      </c>
      <c r="O67" s="260">
        <f>-'Table 5E_OJJ'!O68</f>
        <v>-1696.0344933912684</v>
      </c>
      <c r="P67" s="301">
        <f t="shared" si="2"/>
        <v>12575841.365506608</v>
      </c>
      <c r="Q67" s="260"/>
      <c r="R67" s="260"/>
      <c r="S67" s="260"/>
      <c r="T67" s="260"/>
      <c r="U67" s="260"/>
      <c r="V67" s="260"/>
      <c r="W67" s="260"/>
      <c r="X67" s="260"/>
      <c r="Y67" s="260"/>
      <c r="Z67" s="260">
        <f>'Table 5C2 - LA Virtual Admy '!AD66</f>
        <v>-8</v>
      </c>
      <c r="AA67" s="260">
        <f>'Table 5C3 - LA Connections  '!AD66</f>
        <v>-8</v>
      </c>
      <c r="AB67" s="301">
        <f t="shared" si="3"/>
        <v>12575825.365506608</v>
      </c>
      <c r="AC67" s="256"/>
      <c r="AI67"/>
      <c r="AR67"/>
    </row>
    <row r="68" spans="1:44">
      <c r="A68" s="257">
        <v>63</v>
      </c>
      <c r="B68" s="258" t="s">
        <v>237</v>
      </c>
      <c r="C68" s="259">
        <f>'Table 2 Distributions &amp; Adjust'!U69</f>
        <v>10149841</v>
      </c>
      <c r="D68" s="260"/>
      <c r="E68" s="260"/>
      <c r="F68" s="260"/>
      <c r="G68" s="260"/>
      <c r="H68" s="260"/>
      <c r="I68" s="260"/>
      <c r="J68" s="260"/>
      <c r="K68" s="260"/>
      <c r="L68" s="260"/>
      <c r="M68" s="260">
        <f>-'Table 5C2 - LA Virtual Admy '!AC67-'Table 5C2 - LA Virtual Admy '!AF67</f>
        <v>-21990.15</v>
      </c>
      <c r="N68" s="260">
        <f>-'Table 5C3 - LA Connections  '!AC67-'Table 5C3 - LA Connections  '!AF67</f>
        <v>-37697.4</v>
      </c>
      <c r="O68" s="260">
        <f>-'Table 5E_OJJ'!O69</f>
        <v>-10248.439955319252</v>
      </c>
      <c r="P68" s="301">
        <f t="shared" si="2"/>
        <v>10079905.010044681</v>
      </c>
      <c r="Q68" s="260"/>
      <c r="R68" s="260"/>
      <c r="S68" s="260"/>
      <c r="T68" s="260"/>
      <c r="U68" s="260"/>
      <c r="V68" s="260"/>
      <c r="W68" s="260"/>
      <c r="X68" s="260"/>
      <c r="Y68" s="260"/>
      <c r="Z68" s="260">
        <f>'Table 5C2 - LA Virtual Admy '!AD67</f>
        <v>-55</v>
      </c>
      <c r="AA68" s="260">
        <f>'Table 5C3 - LA Connections  '!AD67</f>
        <v>-94</v>
      </c>
      <c r="AB68" s="301">
        <f t="shared" si="3"/>
        <v>10079756.010044681</v>
      </c>
      <c r="AC68" s="256"/>
      <c r="AI68"/>
      <c r="AR68"/>
    </row>
    <row r="69" spans="1:44">
      <c r="A69" s="257">
        <v>64</v>
      </c>
      <c r="B69" s="258" t="s">
        <v>238</v>
      </c>
      <c r="C69" s="259">
        <f>'Table 2 Distributions &amp; Adjust'!U70</f>
        <v>15584108</v>
      </c>
      <c r="D69" s="260"/>
      <c r="E69" s="260"/>
      <c r="F69" s="260"/>
      <c r="G69" s="260"/>
      <c r="H69" s="260"/>
      <c r="I69" s="260"/>
      <c r="J69" s="260"/>
      <c r="K69" s="260"/>
      <c r="L69" s="260"/>
      <c r="M69" s="260">
        <f>-'Table 5C2 - LA Virtual Admy '!AC68-'Table 5C2 - LA Virtual Admy '!AF68</f>
        <v>-5845.5</v>
      </c>
      <c r="N69" s="260">
        <f>-'Table 5C3 - LA Connections  '!AC68-'Table 5C3 - LA Connections  '!AF68</f>
        <v>-2338.2000000000003</v>
      </c>
      <c r="O69" s="260">
        <f>-'Table 5E_OJJ'!O70</f>
        <v>0</v>
      </c>
      <c r="P69" s="301">
        <f t="shared" si="2"/>
        <v>15575924.300000001</v>
      </c>
      <c r="Q69" s="260"/>
      <c r="R69" s="260"/>
      <c r="S69" s="260"/>
      <c r="T69" s="260"/>
      <c r="U69" s="260"/>
      <c r="V69" s="260"/>
      <c r="W69" s="260"/>
      <c r="X69" s="260"/>
      <c r="Y69" s="260"/>
      <c r="Z69" s="260">
        <f>'Table 5C2 - LA Virtual Admy '!AD68</f>
        <v>-15</v>
      </c>
      <c r="AA69" s="260">
        <f>'Table 5C3 - LA Connections  '!AD68</f>
        <v>-6</v>
      </c>
      <c r="AB69" s="301">
        <f t="shared" si="3"/>
        <v>15575903.300000001</v>
      </c>
      <c r="AC69" s="256"/>
      <c r="AI69"/>
      <c r="AR69"/>
    </row>
    <row r="70" spans="1:44">
      <c r="A70" s="266">
        <v>65</v>
      </c>
      <c r="B70" s="267" t="s">
        <v>239</v>
      </c>
      <c r="C70" s="268">
        <f>'Table 2 Distributions &amp; Adjust'!U71</f>
        <v>44731433</v>
      </c>
      <c r="D70" s="269"/>
      <c r="E70" s="269"/>
      <c r="F70" s="269"/>
      <c r="G70" s="269"/>
      <c r="H70" s="269"/>
      <c r="I70" s="269"/>
      <c r="J70" s="269"/>
      <c r="K70" s="269"/>
      <c r="L70" s="269"/>
      <c r="M70" s="269">
        <f>-'Table 5C2 - LA Virtual Admy '!AC69-'Table 5C2 - LA Virtual Admy '!AF69</f>
        <v>-31556.25</v>
      </c>
      <c r="N70" s="269">
        <f>-'Table 5C3 - LA Connections  '!AC69-'Table 5C3 - LA Connections  '!AF69</f>
        <v>0</v>
      </c>
      <c r="O70" s="269">
        <f>-'Table 5E_OJJ'!O71</f>
        <v>-10548.848054013983</v>
      </c>
      <c r="P70" s="302">
        <f t="shared" si="2"/>
        <v>44689327.901945986</v>
      </c>
      <c r="Q70" s="269"/>
      <c r="R70" s="269"/>
      <c r="S70" s="269"/>
      <c r="T70" s="269"/>
      <c r="U70" s="269"/>
      <c r="V70" s="269"/>
      <c r="W70" s="269"/>
      <c r="X70" s="269"/>
      <c r="Y70" s="269"/>
      <c r="Z70" s="269">
        <f>'Table 5C2 - LA Virtual Admy '!AD69</f>
        <v>-79</v>
      </c>
      <c r="AA70" s="269">
        <f>'Table 5C3 - LA Connections  '!AD69</f>
        <v>0</v>
      </c>
      <c r="AB70" s="302">
        <f t="shared" si="3"/>
        <v>44689248.901945986</v>
      </c>
      <c r="AC70" s="256"/>
      <c r="AI70"/>
      <c r="AR70"/>
    </row>
    <row r="71" spans="1:44">
      <c r="A71" s="279">
        <v>66</v>
      </c>
      <c r="B71" s="280" t="s">
        <v>240</v>
      </c>
      <c r="C71" s="281">
        <f>'Table 2 Distributions &amp; Adjust'!U72</f>
        <v>14172262</v>
      </c>
      <c r="D71" s="282"/>
      <c r="E71" s="282"/>
      <c r="F71" s="282"/>
      <c r="G71" s="282"/>
      <c r="H71" s="282"/>
      <c r="I71" s="282"/>
      <c r="J71" s="282"/>
      <c r="K71" s="282"/>
      <c r="L71" s="282"/>
      <c r="M71" s="282">
        <f>-'Table 5C2 - LA Virtual Admy '!AC70-'Table 5C2 - LA Virtual Admy '!AF70</f>
        <v>-21596.400000000001</v>
      </c>
      <c r="N71" s="282">
        <f>-'Table 5C3 - LA Connections  '!AC70-'Table 5C3 - LA Connections  '!AF70</f>
        <v>0</v>
      </c>
      <c r="O71" s="282">
        <f>-'Table 5E_OJJ'!O72</f>
        <v>-9961.0300494949133</v>
      </c>
      <c r="P71" s="306">
        <f t="shared" ref="P71:P74" si="4">SUM(C71:O71)</f>
        <v>14140704.569950504</v>
      </c>
      <c r="Q71" s="282"/>
      <c r="R71" s="282"/>
      <c r="S71" s="282"/>
      <c r="T71" s="282"/>
      <c r="U71" s="282"/>
      <c r="V71" s="282"/>
      <c r="W71" s="282"/>
      <c r="X71" s="282"/>
      <c r="Y71" s="282"/>
      <c r="Z71" s="282">
        <f>'Table 5C2 - LA Virtual Admy '!AD70</f>
        <v>-54</v>
      </c>
      <c r="AA71" s="282">
        <f>'Table 5C3 - LA Connections  '!AD70</f>
        <v>0</v>
      </c>
      <c r="AB71" s="306">
        <f t="shared" ref="AB71:AB74" si="5">SUM(P71:AA71)</f>
        <v>14140650.569950504</v>
      </c>
      <c r="AC71" s="256"/>
      <c r="AI71"/>
      <c r="AR71"/>
    </row>
    <row r="72" spans="1:44">
      <c r="A72" s="287">
        <v>67</v>
      </c>
      <c r="B72" s="288" t="s">
        <v>241</v>
      </c>
      <c r="C72" s="259">
        <f>'Table 2 Distributions &amp; Adjust'!U73</f>
        <v>28906695</v>
      </c>
      <c r="D72" s="260"/>
      <c r="E72" s="260"/>
      <c r="F72" s="260">
        <f>-'Table 5C1 - Type 2s'!AB8-'Table 5C1 - Type 2s'!AE8</f>
        <v>-8716</v>
      </c>
      <c r="G72" s="260"/>
      <c r="H72" s="260"/>
      <c r="I72" s="260"/>
      <c r="J72" s="260"/>
      <c r="K72" s="260"/>
      <c r="L72" s="260"/>
      <c r="M72" s="260">
        <f>-'Table 5C2 - LA Virtual Admy '!AC71-'Table 5C2 - LA Virtual Admy '!AF71</f>
        <v>-23533.200000000001</v>
      </c>
      <c r="N72" s="260">
        <f>-'Table 5C3 - LA Connections  '!AC71-'Table 5C3 - LA Connections  '!AF71</f>
        <v>-13727.7</v>
      </c>
      <c r="O72" s="260">
        <f>-'Table 5E_OJJ'!O73</f>
        <v>-1488.3301687392927</v>
      </c>
      <c r="P72" s="301">
        <f t="shared" si="4"/>
        <v>28859229.769831263</v>
      </c>
      <c r="Q72" s="260"/>
      <c r="R72" s="260"/>
      <c r="S72" s="260"/>
      <c r="T72" s="260">
        <f>'Table 5C1 - Type 2s'!AC8</f>
        <v>-21.79</v>
      </c>
      <c r="U72" s="260"/>
      <c r="V72" s="260"/>
      <c r="W72" s="260"/>
      <c r="X72" s="260"/>
      <c r="Y72" s="260"/>
      <c r="Z72" s="260">
        <f>'Table 5C2 - LA Virtual Admy '!AD71</f>
        <v>-59</v>
      </c>
      <c r="AA72" s="260">
        <f>'Table 5C3 - LA Connections  '!AD71</f>
        <v>-34</v>
      </c>
      <c r="AB72" s="301">
        <f t="shared" si="5"/>
        <v>28859114.979831263</v>
      </c>
      <c r="AC72" s="256"/>
      <c r="AI72"/>
      <c r="AR72"/>
    </row>
    <row r="73" spans="1:44">
      <c r="A73" s="257">
        <v>68</v>
      </c>
      <c r="B73" s="258" t="s">
        <v>242</v>
      </c>
      <c r="C73" s="259">
        <f>'Table 2 Distributions &amp; Adjust'!U74</f>
        <v>11641939</v>
      </c>
      <c r="D73" s="260"/>
      <c r="E73" s="260"/>
      <c r="F73" s="260">
        <f>-'Table 5C1 - Type 2s'!AB9-'Table 5C1 - Type 2s'!AE9</f>
        <v>-7250</v>
      </c>
      <c r="G73" s="260"/>
      <c r="H73" s="260"/>
      <c r="I73" s="260"/>
      <c r="J73" s="260"/>
      <c r="K73" s="260"/>
      <c r="L73" s="260"/>
      <c r="M73" s="260">
        <f>-'Table 5C2 - LA Virtual Admy '!AC72-'Table 5C2 - LA Virtual Admy '!AF72</f>
        <v>-11745</v>
      </c>
      <c r="N73" s="260">
        <f>-'Table 5C3 - LA Connections  '!AC72-'Table 5C3 - LA Connections  '!AF72</f>
        <v>-3915</v>
      </c>
      <c r="O73" s="260">
        <f>-'Table 5E_OJJ'!O74</f>
        <v>0</v>
      </c>
      <c r="P73" s="301">
        <f t="shared" si="4"/>
        <v>11619029</v>
      </c>
      <c r="Q73" s="260"/>
      <c r="R73" s="260"/>
      <c r="S73" s="260"/>
      <c r="T73" s="260">
        <f>'Table 5C1 - Type 2s'!AC9</f>
        <v>-18.125</v>
      </c>
      <c r="U73" s="260"/>
      <c r="V73" s="260"/>
      <c r="W73" s="260"/>
      <c r="X73" s="260"/>
      <c r="Y73" s="260"/>
      <c r="Z73" s="260">
        <f>'Table 5C2 - LA Virtual Admy '!AD72</f>
        <v>-29</v>
      </c>
      <c r="AA73" s="260">
        <f>'Table 5C3 - LA Connections  '!AD72</f>
        <v>-10</v>
      </c>
      <c r="AB73" s="301">
        <f t="shared" si="5"/>
        <v>11618971.875</v>
      </c>
      <c r="AC73" s="256"/>
      <c r="AI73"/>
      <c r="AR73"/>
    </row>
    <row r="74" spans="1:44">
      <c r="A74" s="266">
        <v>69</v>
      </c>
      <c r="B74" s="267" t="s">
        <v>243</v>
      </c>
      <c r="C74" s="268">
        <f>'Table 2 Distributions &amp; Adjust'!U75</f>
        <v>24378999</v>
      </c>
      <c r="D74" s="269"/>
      <c r="E74" s="269"/>
      <c r="F74" s="260">
        <f>-'Table 5C1 - Type 2s'!AB10-'Table 5C1 - Type 2s'!AE10</f>
        <v>-3312</v>
      </c>
      <c r="G74" s="269"/>
      <c r="H74" s="269"/>
      <c r="I74" s="269"/>
      <c r="J74" s="269"/>
      <c r="K74" s="269"/>
      <c r="L74" s="269"/>
      <c r="M74" s="269">
        <f>-'Table 5C2 - LA Virtual Admy '!AC73-'Table 5C2 - LA Virtual Admy '!AF73</f>
        <v>-14904</v>
      </c>
      <c r="N74" s="269">
        <f>-'Table 5C3 - LA Connections  '!AC73-'Table 5C3 - LA Connections  '!AF73</f>
        <v>0</v>
      </c>
      <c r="O74" s="269">
        <f>-'Table 5E_OJJ'!O75</f>
        <v>0</v>
      </c>
      <c r="P74" s="302">
        <f t="shared" si="4"/>
        <v>24360783</v>
      </c>
      <c r="Q74" s="269"/>
      <c r="R74" s="269"/>
      <c r="S74" s="269"/>
      <c r="T74" s="260">
        <f>'Table 5C1 - Type 2s'!AC10</f>
        <v>-8.2799999999999994</v>
      </c>
      <c r="U74" s="269"/>
      <c r="V74" s="269"/>
      <c r="W74" s="269"/>
      <c r="X74" s="269"/>
      <c r="Y74" s="269"/>
      <c r="Z74" s="269">
        <f>'Table 5C2 - LA Virtual Admy '!AD73</f>
        <v>-37</v>
      </c>
      <c r="AA74" s="269">
        <f>'Table 5C3 - LA Connections  '!AD73</f>
        <v>0</v>
      </c>
      <c r="AB74" s="302">
        <f t="shared" si="5"/>
        <v>24360737.719999999</v>
      </c>
      <c r="AC74" s="256"/>
      <c r="AI74"/>
      <c r="AR74"/>
    </row>
    <row r="75" spans="1:44" ht="13.5" thickBot="1">
      <c r="A75" s="289"/>
      <c r="B75" s="290" t="s">
        <v>244</v>
      </c>
      <c r="C75" s="307">
        <f t="shared" ref="C75:AC75" si="6">SUM(C6:C74)</f>
        <v>3224030045</v>
      </c>
      <c r="D75" s="307">
        <f t="shared" si="6"/>
        <v>-17122734.119999997</v>
      </c>
      <c r="E75" s="307">
        <f t="shared" si="6"/>
        <v>-118665141.64659856</v>
      </c>
      <c r="F75" s="307">
        <f t="shared" si="6"/>
        <v>-1238133.5</v>
      </c>
      <c r="G75" s="307">
        <f t="shared" si="6"/>
        <v>-1057423</v>
      </c>
      <c r="H75" s="307">
        <f t="shared" si="6"/>
        <v>-1269714</v>
      </c>
      <c r="I75" s="307">
        <f t="shared" si="6"/>
        <v>-457237.5</v>
      </c>
      <c r="J75" s="307">
        <f t="shared" si="6"/>
        <v>0</v>
      </c>
      <c r="K75" s="307">
        <f t="shared" si="6"/>
        <v>-266024</v>
      </c>
      <c r="L75" s="307">
        <f t="shared" si="6"/>
        <v>-2633097.5</v>
      </c>
      <c r="M75" s="307">
        <f t="shared" si="6"/>
        <v>-4789024.2000000011</v>
      </c>
      <c r="N75" s="307">
        <f t="shared" si="6"/>
        <v>-2187892.8000000003</v>
      </c>
      <c r="O75" s="307">
        <f t="shared" si="6"/>
        <v>-1225985.6791791995</v>
      </c>
      <c r="P75" s="308">
        <f t="shared" si="6"/>
        <v>3073117637.0542226</v>
      </c>
      <c r="Q75" s="307">
        <f t="shared" si="6"/>
        <v>-258958.45500000002</v>
      </c>
      <c r="R75" s="307">
        <f t="shared" si="6"/>
        <v>-36994.065000000002</v>
      </c>
      <c r="S75" s="307">
        <f>SUM(S6:S74)</f>
        <v>-235236.65625</v>
      </c>
      <c r="T75" s="307">
        <f t="shared" si="6"/>
        <v>-3126.6937500000004</v>
      </c>
      <c r="U75" s="307">
        <f t="shared" si="6"/>
        <v>-2643.5574999999999</v>
      </c>
      <c r="V75" s="307">
        <f t="shared" si="6"/>
        <v>-3225.6475</v>
      </c>
      <c r="W75" s="307">
        <f t="shared" si="6"/>
        <v>-1143.09375</v>
      </c>
      <c r="X75" s="307">
        <f t="shared" si="6"/>
        <v>-665.06</v>
      </c>
      <c r="Y75" s="307">
        <f t="shared" si="6"/>
        <v>-6582.7437500000005</v>
      </c>
      <c r="Z75" s="307">
        <f t="shared" si="6"/>
        <v>-11977</v>
      </c>
      <c r="AA75" s="307">
        <f t="shared" si="6"/>
        <v>-5467</v>
      </c>
      <c r="AB75" s="308">
        <f t="shared" si="6"/>
        <v>3072551617.0817227</v>
      </c>
      <c r="AC75" s="256">
        <f t="shared" si="6"/>
        <v>0</v>
      </c>
      <c r="AI75"/>
      <c r="AR75"/>
    </row>
    <row r="76" spans="1:44" ht="14.25" hidden="1" customHeight="1" thickTop="1">
      <c r="AE76" s="295"/>
      <c r="AF76" s="295"/>
      <c r="AG76" s="295"/>
      <c r="AH76" s="295"/>
      <c r="AI76" s="295"/>
      <c r="AJ76" s="295"/>
      <c r="AK76" s="295"/>
      <c r="AL76" s="295"/>
      <c r="AM76" s="295"/>
      <c r="AP76" s="295"/>
    </row>
    <row r="77" spans="1:44" hidden="1">
      <c r="P77" s="251">
        <f>SUM(C75:O75)</f>
        <v>3073117637.0542226</v>
      </c>
      <c r="Q77" s="251"/>
      <c r="R77" s="251"/>
      <c r="AB77" s="251">
        <f>SUM(P75:AA75)</f>
        <v>3072551617.0817227</v>
      </c>
    </row>
    <row r="78" spans="1:44" hidden="1">
      <c r="AE78" s="251"/>
      <c r="AF78" s="251"/>
      <c r="AG78" s="251"/>
      <c r="AH78" s="251"/>
      <c r="AJ78" s="251"/>
      <c r="AK78" s="251"/>
      <c r="AL78" s="251"/>
      <c r="AM78" s="251"/>
      <c r="AP78" s="251"/>
    </row>
    <row r="79" spans="1:44" hidden="1">
      <c r="D79" s="1670" t="s">
        <v>299</v>
      </c>
      <c r="E79" s="1670"/>
      <c r="F79" s="1670"/>
      <c r="G79" s="1670"/>
      <c r="H79" s="1670"/>
    </row>
    <row r="80" spans="1:44" ht="24.75" hidden="1" customHeight="1">
      <c r="D80" s="1670"/>
      <c r="E80" s="1670"/>
      <c r="F80" s="1670"/>
      <c r="G80" s="1670"/>
      <c r="H80" s="1670"/>
    </row>
    <row r="81" spans="4:8" hidden="1">
      <c r="D81" s="1670"/>
      <c r="E81" s="1670"/>
      <c r="F81" s="1670"/>
      <c r="G81" s="1670"/>
      <c r="H81" s="1670"/>
    </row>
    <row r="82" spans="4:8" hidden="1">
      <c r="D82" s="1670"/>
      <c r="E82" s="1670"/>
      <c r="F82" s="1670"/>
      <c r="G82" s="1670"/>
      <c r="H82" s="1670"/>
    </row>
    <row r="83" spans="4:8" hidden="1">
      <c r="D83" s="1478"/>
      <c r="E83" s="1478"/>
      <c r="F83" s="1478"/>
      <c r="G83" s="1478"/>
      <c r="H83" s="1478"/>
    </row>
    <row r="84" spans="4:8" hidden="1">
      <c r="D84" s="1478"/>
      <c r="E84" s="1478"/>
      <c r="F84" s="1478"/>
      <c r="G84" s="1478"/>
      <c r="H84" s="1478"/>
    </row>
    <row r="85" spans="4:8" ht="13.5" thickTop="1"/>
  </sheetData>
  <mergeCells count="29">
    <mergeCell ref="F1:F4"/>
    <mergeCell ref="A1:A4"/>
    <mergeCell ref="B1:B4"/>
    <mergeCell ref="C1:C4"/>
    <mergeCell ref="D1:D4"/>
    <mergeCell ref="E1:E4"/>
    <mergeCell ref="R1:R4"/>
    <mergeCell ref="G1:G4"/>
    <mergeCell ref="H1:H4"/>
    <mergeCell ref="I1:I4"/>
    <mergeCell ref="J1:J4"/>
    <mergeCell ref="K1:K4"/>
    <mergeCell ref="L1:L4"/>
    <mergeCell ref="Y1:Y4"/>
    <mergeCell ref="Z1:Z4"/>
    <mergeCell ref="AA1:AA4"/>
    <mergeCell ref="AB1:AB4"/>
    <mergeCell ref="D79:H82"/>
    <mergeCell ref="S1:S4"/>
    <mergeCell ref="T1:T4"/>
    <mergeCell ref="U1:U4"/>
    <mergeCell ref="V1:V4"/>
    <mergeCell ref="W1:W4"/>
    <mergeCell ref="X1:X4"/>
    <mergeCell ref="M1:M4"/>
    <mergeCell ref="N1:N4"/>
    <mergeCell ref="O1:O4"/>
    <mergeCell ref="P1:P4"/>
    <mergeCell ref="Q1:Q4"/>
  </mergeCells>
  <printOptions horizontalCentered="1"/>
  <pageMargins left="0.25" right="0.33" top="1.01" bottom="0.75" header="0.3" footer="0.3"/>
  <pageSetup paperSize="5" scale="75" orientation="portrait" r:id="rId1"/>
  <headerFooter>
    <oddHeader>&amp;L&amp;"Arial,Bold"&amp;14Table 2A-2:  FY2011-12 Budget Letter 
Annual MFP Transfer Amount (March 2012)</oddHeader>
  </headerFooter>
  <colBreaks count="3" manualBreakCount="3">
    <brk id="8" max="1048575" man="1"/>
    <brk id="16" max="1048575" man="1"/>
    <brk id="22" max="1048575" man="1"/>
  </colBreaks>
</worksheet>
</file>

<file path=xl/worksheets/sheet5.xml><?xml version="1.0" encoding="utf-8"?>
<worksheet xmlns="http://schemas.openxmlformats.org/spreadsheetml/2006/main" xmlns:r="http://schemas.openxmlformats.org/officeDocument/2006/relationships">
  <dimension ref="A1:EC873"/>
  <sheetViews>
    <sheetView view="pageBreakPreview" zoomScale="70" zoomScaleNormal="85" zoomScaleSheetLayoutView="70" workbookViewId="0">
      <pane xSplit="2" ySplit="7" topLeftCell="C8" activePane="bottomRight" state="frozen"/>
      <selection pane="topRight"/>
      <selection pane="bottomLeft"/>
      <selection pane="bottomRight" activeCell="BA24" sqref="BA24"/>
    </sheetView>
  </sheetViews>
  <sheetFormatPr defaultRowHeight="12.75"/>
  <cols>
    <col min="1" max="1" width="4.7109375" style="366" bestFit="1" customWidth="1"/>
    <col min="2" max="2" width="18.7109375" style="250" customWidth="1"/>
    <col min="3" max="4" width="15.85546875" style="250" customWidth="1"/>
    <col min="5" max="5" width="15.42578125" style="492" bestFit="1" customWidth="1"/>
    <col min="6" max="6" width="16.7109375" style="250" bestFit="1" customWidth="1"/>
    <col min="7" max="7" width="13.42578125" style="250" bestFit="1" customWidth="1"/>
    <col min="8" max="8" width="19.140625" style="250" bestFit="1" customWidth="1"/>
    <col min="9" max="9" width="16.28515625" style="250" bestFit="1" customWidth="1"/>
    <col min="10" max="10" width="15.140625" style="250" bestFit="1" customWidth="1"/>
    <col min="11" max="11" width="15.42578125" style="250" bestFit="1" customWidth="1"/>
    <col min="12" max="12" width="18" style="250" bestFit="1" customWidth="1"/>
    <col min="13" max="13" width="13.28515625" style="443" customWidth="1"/>
    <col min="14" max="15" width="14.85546875" style="250" customWidth="1"/>
    <col min="16" max="16" width="15.140625" style="250" bestFit="1" customWidth="1"/>
    <col min="17" max="17" width="9.85546875" style="250" bestFit="1" customWidth="1"/>
    <col min="18" max="18" width="15.42578125" style="250" customWidth="1"/>
    <col min="19" max="20" width="14.140625" style="311" customWidth="1"/>
    <col min="21" max="21" width="18.28515625" style="311" customWidth="1"/>
    <col min="22" max="22" width="10.7109375" style="311" bestFit="1" customWidth="1"/>
    <col min="23" max="24" width="10" style="311" customWidth="1"/>
    <col min="25" max="25" width="18.140625" style="311" customWidth="1"/>
    <col min="26" max="26" width="15.140625" style="311" customWidth="1"/>
    <col min="27" max="27" width="9.5703125" style="311" customWidth="1"/>
    <col min="28" max="28" width="14.140625" style="311" customWidth="1"/>
    <col min="29" max="29" width="14.42578125" style="311" customWidth="1"/>
    <col min="30" max="30" width="13.85546875" style="311" customWidth="1"/>
    <col min="31" max="31" width="16" style="311" customWidth="1"/>
    <col min="32" max="32" width="10.5703125" style="311" customWidth="1"/>
    <col min="33" max="33" width="15.5703125" style="311" customWidth="1"/>
    <col min="34" max="34" width="9.42578125" style="311" bestFit="1" customWidth="1"/>
    <col min="35" max="35" width="17.42578125" style="311" customWidth="1"/>
    <col min="36" max="36" width="9.42578125" style="311" bestFit="1" customWidth="1"/>
    <col min="37" max="37" width="18.85546875" style="311" customWidth="1"/>
    <col min="38" max="38" width="9.42578125" style="311" bestFit="1" customWidth="1"/>
    <col min="39" max="39" width="17.28515625" style="311" customWidth="1"/>
    <col min="40" max="40" width="9.42578125" style="311" bestFit="1" customWidth="1"/>
    <col min="41" max="41" width="17.85546875" style="311" customWidth="1"/>
    <col min="42" max="42" width="9.42578125" style="311" bestFit="1" customWidth="1"/>
    <col min="43" max="43" width="13.85546875" style="311" customWidth="1"/>
    <col min="44" max="44" width="5.7109375" style="311" bestFit="1" customWidth="1"/>
    <col min="45" max="45" width="16.28515625" style="311" customWidth="1"/>
    <col min="46" max="46" width="8.140625" style="311" bestFit="1" customWidth="1"/>
    <col min="47" max="47" width="5" style="311" bestFit="1" customWidth="1"/>
    <col min="48" max="48" width="9.85546875" style="311" bestFit="1" customWidth="1"/>
    <col min="49" max="49" width="18.5703125" style="311" customWidth="1"/>
    <col min="50" max="50" width="8.42578125" style="311" bestFit="1" customWidth="1"/>
    <col min="51" max="51" width="5" style="311" bestFit="1" customWidth="1"/>
    <col min="52" max="52" width="21.5703125" style="311" customWidth="1"/>
    <col min="53" max="53" width="17.140625" style="311" customWidth="1"/>
    <col min="134" max="16384" width="9.140625" style="250"/>
  </cols>
  <sheetData>
    <row r="1" spans="1:133" ht="27" thickBot="1">
      <c r="A1" s="1675"/>
      <c r="B1" s="1676"/>
      <c r="C1" s="1677"/>
      <c r="D1" s="1677"/>
      <c r="E1" s="1677"/>
      <c r="F1" s="1677"/>
      <c r="G1" s="1677"/>
      <c r="H1" s="1677"/>
      <c r="I1" s="1677"/>
      <c r="J1" s="1677"/>
      <c r="K1" s="1677"/>
      <c r="L1" s="1677"/>
      <c r="M1" s="1677"/>
      <c r="N1" s="1677"/>
      <c r="O1" s="1677"/>
      <c r="P1" s="1677"/>
      <c r="Q1" s="1677"/>
      <c r="R1" s="1677"/>
      <c r="S1" s="309"/>
      <c r="T1" s="309"/>
      <c r="U1" s="310"/>
      <c r="V1" s="310"/>
      <c r="W1" s="310"/>
      <c r="X1" s="310"/>
      <c r="Y1" s="310"/>
      <c r="AB1" s="312"/>
      <c r="AC1" s="309"/>
      <c r="AD1" s="310"/>
      <c r="AE1" s="310"/>
      <c r="AF1" s="310"/>
    </row>
    <row r="2" spans="1:133" ht="1.5" hidden="1" customHeight="1">
      <c r="A2" s="1678"/>
      <c r="B2" s="1679"/>
      <c r="E2" s="250"/>
      <c r="M2" s="250"/>
      <c r="S2" s="313"/>
      <c r="T2" s="313"/>
      <c r="AC2" s="314"/>
      <c r="AD2" s="315"/>
      <c r="AE2" s="315"/>
      <c r="AF2" s="315"/>
      <c r="AG2" s="315"/>
      <c r="AH2" s="315"/>
      <c r="AI2" s="315"/>
      <c r="AJ2" s="315"/>
      <c r="AK2" s="315"/>
      <c r="AL2" s="315"/>
      <c r="AM2" s="315"/>
      <c r="AN2" s="315"/>
      <c r="AO2" s="315"/>
      <c r="AP2" s="315"/>
      <c r="AQ2" s="315"/>
      <c r="AR2" s="315"/>
      <c r="AS2" s="315"/>
      <c r="AT2" s="315"/>
      <c r="AU2" s="315"/>
      <c r="AV2" s="315"/>
      <c r="AW2" s="315"/>
      <c r="AX2" s="315"/>
      <c r="AY2" s="315"/>
      <c r="AZ2" s="315"/>
      <c r="BA2" s="315"/>
    </row>
    <row r="3" spans="1:133" s="328" customFormat="1" ht="41.25" hidden="1" thickBot="1">
      <c r="A3" s="1680"/>
      <c r="B3" s="1681"/>
      <c r="C3" s="316" t="s">
        <v>300</v>
      </c>
      <c r="D3" s="317" t="s">
        <v>300</v>
      </c>
      <c r="E3" s="318" t="s">
        <v>301</v>
      </c>
      <c r="F3" s="319" t="s">
        <v>302</v>
      </c>
      <c r="G3" s="318" t="s">
        <v>303</v>
      </c>
      <c r="H3" s="319" t="s">
        <v>304</v>
      </c>
      <c r="I3" s="318" t="s">
        <v>305</v>
      </c>
      <c r="J3" s="319" t="s">
        <v>304</v>
      </c>
      <c r="K3" s="318" t="s">
        <v>306</v>
      </c>
      <c r="L3" s="320" t="s">
        <v>307</v>
      </c>
      <c r="M3" s="320" t="s">
        <v>308</v>
      </c>
      <c r="N3" s="321" t="s">
        <v>309</v>
      </c>
      <c r="O3" s="322" t="s">
        <v>310</v>
      </c>
      <c r="P3" s="323" t="s">
        <v>311</v>
      </c>
      <c r="Q3" s="324" t="s">
        <v>312</v>
      </c>
      <c r="R3" s="325" t="s">
        <v>313</v>
      </c>
      <c r="S3" s="326"/>
      <c r="T3" s="326"/>
      <c r="U3" s="326"/>
      <c r="V3" s="326"/>
      <c r="W3" s="326"/>
      <c r="X3" s="326"/>
      <c r="Y3" s="326"/>
      <c r="Z3" s="326"/>
      <c r="AA3" s="326"/>
      <c r="AB3" s="327"/>
      <c r="AC3" s="326"/>
      <c r="AD3" s="326"/>
      <c r="AE3" s="326"/>
      <c r="AF3" s="326"/>
      <c r="AG3" s="326"/>
      <c r="AH3" s="326"/>
      <c r="AI3" s="326"/>
      <c r="AJ3" s="326"/>
      <c r="AK3" s="326"/>
      <c r="AL3" s="326"/>
      <c r="AM3" s="326"/>
      <c r="AN3" s="326"/>
      <c r="AO3" s="326"/>
      <c r="AP3" s="326"/>
      <c r="AQ3" s="326"/>
      <c r="AR3" s="326"/>
      <c r="AS3" s="326"/>
      <c r="AT3" s="326"/>
      <c r="AU3" s="326"/>
      <c r="AV3" s="326"/>
      <c r="AW3" s="326"/>
      <c r="AX3" s="326"/>
      <c r="AY3" s="326"/>
      <c r="AZ3" s="326"/>
      <c r="BA3" s="326"/>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row>
    <row r="4" spans="1:133" s="328" customFormat="1" ht="17.25" thickBot="1">
      <c r="C4" s="329"/>
      <c r="D4" s="330"/>
      <c r="E4" s="331">
        <v>0.22</v>
      </c>
      <c r="F4" s="332"/>
      <c r="G4" s="333">
        <v>0.06</v>
      </c>
      <c r="H4" s="334"/>
      <c r="I4" s="333">
        <v>1.5</v>
      </c>
      <c r="J4" s="332"/>
      <c r="K4" s="335">
        <v>0.6</v>
      </c>
      <c r="L4" s="336">
        <v>7500</v>
      </c>
      <c r="M4" s="336">
        <v>37500</v>
      </c>
      <c r="N4" s="337">
        <f>M4</f>
        <v>37500</v>
      </c>
      <c r="Q4" s="338">
        <f>ROUND(3855*1,0)</f>
        <v>3855</v>
      </c>
      <c r="S4" s="339"/>
      <c r="T4" s="340">
        <v>0.75</v>
      </c>
      <c r="U4" s="341"/>
      <c r="V4" s="342"/>
      <c r="W4" s="342"/>
      <c r="X4" s="342"/>
      <c r="Z4" s="343"/>
      <c r="AA4" s="343"/>
      <c r="AB4" s="344">
        <v>0.34</v>
      </c>
      <c r="AC4" s="343"/>
      <c r="AD4" s="345">
        <v>1.72</v>
      </c>
      <c r="AE4" s="346"/>
      <c r="AF4" s="343"/>
      <c r="AG4" s="343"/>
      <c r="AH4" s="343"/>
      <c r="AI4" s="1682" t="s">
        <v>314</v>
      </c>
      <c r="AJ4" s="1683"/>
      <c r="AK4" s="1683"/>
      <c r="AL4" s="1684"/>
      <c r="AM4" s="1685" t="s">
        <v>315</v>
      </c>
      <c r="AN4" s="1686"/>
      <c r="AO4" s="1686"/>
      <c r="AP4" s="1687"/>
      <c r="AQ4" s="343"/>
      <c r="AR4" s="343"/>
      <c r="AS4" s="343"/>
      <c r="AT4" s="343"/>
      <c r="AU4" s="343"/>
      <c r="AV4" s="343"/>
      <c r="AW4" s="343"/>
      <c r="AX4" s="343"/>
      <c r="AY4" s="343"/>
      <c r="AZ4" s="1671" t="s">
        <v>316</v>
      </c>
      <c r="BA4" s="1672"/>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row>
    <row r="5" spans="1:133" s="366" customFormat="1" ht="131.25" customHeight="1">
      <c r="A5" s="347" t="s">
        <v>157</v>
      </c>
      <c r="B5" s="347" t="s">
        <v>158</v>
      </c>
      <c r="C5" s="347" t="s">
        <v>317</v>
      </c>
      <c r="D5" s="347" t="s">
        <v>318</v>
      </c>
      <c r="E5" s="348" t="s">
        <v>319</v>
      </c>
      <c r="F5" s="347" t="s">
        <v>320</v>
      </c>
      <c r="G5" s="349" t="s">
        <v>321</v>
      </c>
      <c r="H5" s="347" t="s">
        <v>322</v>
      </c>
      <c r="I5" s="348" t="s">
        <v>323</v>
      </c>
      <c r="J5" s="347" t="s">
        <v>324</v>
      </c>
      <c r="K5" s="348" t="s">
        <v>325</v>
      </c>
      <c r="L5" s="350" t="s">
        <v>326</v>
      </c>
      <c r="M5" s="351" t="s">
        <v>327</v>
      </c>
      <c r="N5" s="348" t="s">
        <v>328</v>
      </c>
      <c r="O5" s="347" t="s">
        <v>329</v>
      </c>
      <c r="P5" s="347" t="s">
        <v>330</v>
      </c>
      <c r="Q5" s="348" t="s">
        <v>331</v>
      </c>
      <c r="R5" s="347" t="s">
        <v>332</v>
      </c>
      <c r="S5" s="352" t="s">
        <v>333</v>
      </c>
      <c r="T5" s="353" t="s">
        <v>334</v>
      </c>
      <c r="U5" s="354" t="s">
        <v>335</v>
      </c>
      <c r="V5" s="355" t="s">
        <v>336</v>
      </c>
      <c r="W5" s="356" t="s">
        <v>337</v>
      </c>
      <c r="X5" s="356" t="s">
        <v>338</v>
      </c>
      <c r="Y5" s="357" t="s">
        <v>339</v>
      </c>
      <c r="Z5" s="357" t="s">
        <v>340</v>
      </c>
      <c r="AA5" s="357" t="s">
        <v>341</v>
      </c>
      <c r="AB5" s="358" t="s">
        <v>342</v>
      </c>
      <c r="AC5" s="359" t="s">
        <v>343</v>
      </c>
      <c r="AD5" s="358" t="s">
        <v>344</v>
      </c>
      <c r="AE5" s="360" t="s">
        <v>345</v>
      </c>
      <c r="AF5" s="361" t="s">
        <v>346</v>
      </c>
      <c r="AG5" s="362" t="s">
        <v>347</v>
      </c>
      <c r="AH5" s="347" t="s">
        <v>348</v>
      </c>
      <c r="AI5" s="363" t="s">
        <v>349</v>
      </c>
      <c r="AJ5" s="348" t="s">
        <v>348</v>
      </c>
      <c r="AK5" s="363" t="s">
        <v>350</v>
      </c>
      <c r="AL5" s="348" t="s">
        <v>331</v>
      </c>
      <c r="AM5" s="363" t="s">
        <v>351</v>
      </c>
      <c r="AN5" s="348" t="s">
        <v>331</v>
      </c>
      <c r="AO5" s="363" t="s">
        <v>352</v>
      </c>
      <c r="AP5" s="348" t="s">
        <v>331</v>
      </c>
      <c r="AQ5" s="364" t="s">
        <v>353</v>
      </c>
      <c r="AR5" s="364" t="s">
        <v>354</v>
      </c>
      <c r="AS5" s="359" t="s">
        <v>355</v>
      </c>
      <c r="AT5" s="359" t="s">
        <v>331</v>
      </c>
      <c r="AU5" s="359" t="s">
        <v>356</v>
      </c>
      <c r="AV5" s="359" t="s">
        <v>357</v>
      </c>
      <c r="AW5" s="357" t="s">
        <v>358</v>
      </c>
      <c r="AX5" s="357" t="s">
        <v>331</v>
      </c>
      <c r="AY5" s="357" t="s">
        <v>354</v>
      </c>
      <c r="AZ5" s="365" t="s">
        <v>359</v>
      </c>
      <c r="BA5" s="365" t="s">
        <v>360</v>
      </c>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row>
    <row r="6" spans="1:133" s="371" customFormat="1">
      <c r="A6" s="367"/>
      <c r="B6" s="367"/>
      <c r="C6" s="368">
        <v>1</v>
      </c>
      <c r="D6" s="369" t="s">
        <v>361</v>
      </c>
      <c r="E6" s="369">
        <v>2</v>
      </c>
      <c r="F6" s="369" t="s">
        <v>362</v>
      </c>
      <c r="G6" s="369">
        <v>3</v>
      </c>
      <c r="H6" s="369" t="s">
        <v>363</v>
      </c>
      <c r="I6" s="369">
        <v>4</v>
      </c>
      <c r="J6" s="369" t="s">
        <v>364</v>
      </c>
      <c r="K6" s="369">
        <v>5</v>
      </c>
      <c r="L6" s="369" t="s">
        <v>365</v>
      </c>
      <c r="M6" s="368" t="s">
        <v>366</v>
      </c>
      <c r="N6" s="369">
        <v>6</v>
      </c>
      <c r="O6" s="369">
        <f>N6+1</f>
        <v>7</v>
      </c>
      <c r="P6" s="369">
        <f>O6+1</f>
        <v>8</v>
      </c>
      <c r="Q6" s="369">
        <f>P6+1</f>
        <v>9</v>
      </c>
      <c r="R6" s="369">
        <f>Q6+1</f>
        <v>10</v>
      </c>
      <c r="S6" s="369">
        <f t="shared" ref="S6:AY6" si="0">R6+1</f>
        <v>11</v>
      </c>
      <c r="T6" s="368" t="s">
        <v>367</v>
      </c>
      <c r="U6" s="369">
        <v>12</v>
      </c>
      <c r="V6" s="369">
        <f t="shared" si="0"/>
        <v>13</v>
      </c>
      <c r="W6" s="369">
        <f t="shared" si="0"/>
        <v>14</v>
      </c>
      <c r="X6" s="369">
        <f t="shared" si="0"/>
        <v>15</v>
      </c>
      <c r="Y6" s="369">
        <f t="shared" si="0"/>
        <v>16</v>
      </c>
      <c r="Z6" s="369">
        <f t="shared" si="0"/>
        <v>17</v>
      </c>
      <c r="AA6" s="369">
        <f t="shared" si="0"/>
        <v>18</v>
      </c>
      <c r="AB6" s="369">
        <f t="shared" si="0"/>
        <v>19</v>
      </c>
      <c r="AC6" s="369">
        <f t="shared" si="0"/>
        <v>20</v>
      </c>
      <c r="AD6" s="369">
        <f t="shared" si="0"/>
        <v>21</v>
      </c>
      <c r="AE6" s="369">
        <f t="shared" si="0"/>
        <v>22</v>
      </c>
      <c r="AF6" s="369">
        <f t="shared" si="0"/>
        <v>23</v>
      </c>
      <c r="AG6" s="369">
        <f t="shared" si="0"/>
        <v>24</v>
      </c>
      <c r="AH6" s="369">
        <f t="shared" si="0"/>
        <v>25</v>
      </c>
      <c r="AI6" s="369">
        <f t="shared" si="0"/>
        <v>26</v>
      </c>
      <c r="AJ6" s="369">
        <f t="shared" si="0"/>
        <v>27</v>
      </c>
      <c r="AK6" s="369">
        <f t="shared" si="0"/>
        <v>28</v>
      </c>
      <c r="AL6" s="369">
        <f t="shared" si="0"/>
        <v>29</v>
      </c>
      <c r="AM6" s="369">
        <f t="shared" si="0"/>
        <v>30</v>
      </c>
      <c r="AN6" s="369">
        <f t="shared" si="0"/>
        <v>31</v>
      </c>
      <c r="AO6" s="369">
        <f t="shared" si="0"/>
        <v>32</v>
      </c>
      <c r="AP6" s="369">
        <f t="shared" si="0"/>
        <v>33</v>
      </c>
      <c r="AQ6" s="369">
        <f t="shared" si="0"/>
        <v>34</v>
      </c>
      <c r="AR6" s="369">
        <f t="shared" si="0"/>
        <v>35</v>
      </c>
      <c r="AS6" s="369">
        <f t="shared" si="0"/>
        <v>36</v>
      </c>
      <c r="AT6" s="369">
        <f t="shared" si="0"/>
        <v>37</v>
      </c>
      <c r="AU6" s="369">
        <f t="shared" si="0"/>
        <v>38</v>
      </c>
      <c r="AV6" s="369">
        <f t="shared" si="0"/>
        <v>39</v>
      </c>
      <c r="AW6" s="369">
        <f t="shared" si="0"/>
        <v>40</v>
      </c>
      <c r="AX6" s="369">
        <f t="shared" si="0"/>
        <v>41</v>
      </c>
      <c r="AY6" s="369">
        <f t="shared" si="0"/>
        <v>42</v>
      </c>
      <c r="AZ6" s="369">
        <f>AY6+1</f>
        <v>43</v>
      </c>
      <c r="BA6" s="369">
        <f>AZ6+1</f>
        <v>44</v>
      </c>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c r="DF6" s="370"/>
      <c r="DG6" s="370"/>
      <c r="DH6" s="370"/>
      <c r="DI6" s="370"/>
      <c r="DJ6" s="370"/>
      <c r="DK6" s="370"/>
      <c r="DL6" s="370"/>
      <c r="DM6" s="370"/>
      <c r="DN6" s="370"/>
      <c r="DO6" s="370"/>
      <c r="DP6" s="370"/>
      <c r="DQ6" s="370"/>
      <c r="DR6" s="370"/>
      <c r="DS6" s="370"/>
      <c r="DT6" s="370"/>
      <c r="DU6" s="370"/>
      <c r="DV6" s="370"/>
      <c r="DW6" s="370"/>
      <c r="DX6" s="370"/>
      <c r="DY6" s="370"/>
      <c r="DZ6" s="370"/>
      <c r="EA6" s="370"/>
      <c r="EB6" s="370"/>
      <c r="EC6" s="370"/>
    </row>
    <row r="7" spans="1:133" ht="0.75" customHeight="1">
      <c r="A7" s="372"/>
      <c r="B7" s="373"/>
      <c r="C7" s="374">
        <v>39114</v>
      </c>
      <c r="D7" s="375" t="s">
        <v>368</v>
      </c>
      <c r="E7" s="374">
        <v>39114</v>
      </c>
      <c r="F7" s="375" t="s">
        <v>368</v>
      </c>
      <c r="G7" s="374">
        <v>38992</v>
      </c>
      <c r="H7" s="376" t="s">
        <v>368</v>
      </c>
      <c r="I7" s="374">
        <v>39114</v>
      </c>
      <c r="J7" s="376" t="s">
        <v>368</v>
      </c>
      <c r="K7" s="374">
        <v>39114</v>
      </c>
      <c r="L7" s="376" t="s">
        <v>368</v>
      </c>
      <c r="M7" s="377" t="s">
        <v>368</v>
      </c>
      <c r="N7" s="373"/>
      <c r="O7" s="373"/>
      <c r="P7" s="373"/>
      <c r="Q7" s="373"/>
      <c r="R7" s="373"/>
      <c r="S7" s="378"/>
      <c r="T7" s="378"/>
      <c r="U7" s="378"/>
      <c r="V7" s="378"/>
      <c r="W7" s="378"/>
      <c r="X7" s="378"/>
      <c r="Y7" s="378"/>
      <c r="Z7" s="378"/>
      <c r="AA7" s="378"/>
      <c r="AB7" s="378"/>
      <c r="AC7" s="378"/>
      <c r="AD7" s="378"/>
      <c r="AE7" s="378"/>
      <c r="AF7" s="378"/>
      <c r="AG7" s="378"/>
      <c r="AH7" s="378"/>
      <c r="AI7" s="378"/>
      <c r="AJ7" s="378"/>
      <c r="AK7" s="378"/>
      <c r="AL7" s="378"/>
      <c r="AM7" s="378"/>
      <c r="AN7" s="378"/>
      <c r="AO7" s="378"/>
      <c r="AP7" s="378"/>
      <c r="AQ7" s="378"/>
      <c r="AR7" s="378"/>
      <c r="AS7" s="378"/>
      <c r="AT7" s="378"/>
      <c r="AU7" s="378"/>
      <c r="AV7" s="378"/>
      <c r="AW7" s="378"/>
      <c r="AX7" s="378"/>
      <c r="AY7" s="378"/>
      <c r="AZ7" s="378"/>
      <c r="BA7" s="378"/>
    </row>
    <row r="8" spans="1:133" s="397" customFormat="1">
      <c r="A8" s="379">
        <v>1</v>
      </c>
      <c r="B8" s="380" t="s">
        <v>179</v>
      </c>
      <c r="C8" s="381">
        <f>'[4]Table 8   2-1-10 Membership'!U6</f>
        <v>9154</v>
      </c>
      <c r="D8" s="381">
        <v>6335</v>
      </c>
      <c r="E8" s="381">
        <f t="shared" ref="E8:E71" si="1">ROUND($E$4*D8,0)</f>
        <v>1394</v>
      </c>
      <c r="F8" s="381">
        <v>2791.5</v>
      </c>
      <c r="G8" s="381">
        <f t="shared" ref="G8:G71" si="2">ROUND($G$4*F8,0)</f>
        <v>167</v>
      </c>
      <c r="H8" s="382">
        <v>1099</v>
      </c>
      <c r="I8" s="381">
        <f>ROUND($I$4*H8,0)</f>
        <v>1649</v>
      </c>
      <c r="J8" s="382">
        <v>81</v>
      </c>
      <c r="K8" s="381">
        <f>ROUND($K$4*J8,0)</f>
        <v>49</v>
      </c>
      <c r="L8" s="383">
        <f t="shared" ref="L8:L71" si="3">IF(C8&lt;$L$4,$L$4-C8,0)</f>
        <v>0</v>
      </c>
      <c r="M8" s="384">
        <f t="shared" ref="M8:M71" si="4">ROUND(L8/$M$4,5)</f>
        <v>0</v>
      </c>
      <c r="N8" s="381">
        <f t="shared" ref="N8:N71" si="5" xml:space="preserve"> ROUND(C8*M8,0)</f>
        <v>0</v>
      </c>
      <c r="O8" s="381">
        <f>E8+G8+I8+K8+N8</f>
        <v>3259</v>
      </c>
      <c r="P8" s="381">
        <f t="shared" ref="P8:P71" si="6">O8+C8</f>
        <v>12413</v>
      </c>
      <c r="Q8" s="385">
        <f>$Q$4</f>
        <v>3855</v>
      </c>
      <c r="R8" s="385">
        <f t="shared" ref="R8:R71" si="7">ROUND(P8*Q8,0)</f>
        <v>47852115</v>
      </c>
      <c r="S8" s="385">
        <f>'Table 6 (Local Deduct Calc.)'!J9</f>
        <v>11080725</v>
      </c>
      <c r="T8" s="385">
        <f>IF((S8&gt;R8*$T$4),R8*$T$4,S8)</f>
        <v>11080725</v>
      </c>
      <c r="U8" s="386">
        <f>R8-T8</f>
        <v>36771390</v>
      </c>
      <c r="V8" s="387">
        <f>ROUND(U8/R8,4)</f>
        <v>0.76839999999999997</v>
      </c>
      <c r="W8" s="387">
        <f>ROUND(T8/R8,4)</f>
        <v>0.2316</v>
      </c>
      <c r="X8" s="388">
        <f>T8/C8</f>
        <v>1210.4790255625956</v>
      </c>
      <c r="Y8" s="385">
        <f>'Table 7 Local Revenue'!AQ8</f>
        <v>19047403</v>
      </c>
      <c r="Z8" s="385">
        <f>IF(Y8-T8&gt;0,Y8-T8,0)</f>
        <v>7966678</v>
      </c>
      <c r="AA8" s="389">
        <f>IF(Y8-T8&lt;0,Y8-T8,0)</f>
        <v>0</v>
      </c>
      <c r="AB8" s="390">
        <f>R8*$AB$4</f>
        <v>16269719.100000001</v>
      </c>
      <c r="AC8" s="390">
        <f>IF(Z8&lt;AB8,Z8,AB8)</f>
        <v>7966678</v>
      </c>
      <c r="AD8" s="385">
        <f>IF(AC8&gt;0,AC8*(W8*$AD$4),0)</f>
        <v>3173542.1146559999</v>
      </c>
      <c r="AE8" s="391">
        <f>IF(AC8-AD8&gt;AC8*$AE$4,AC8-AD8,AC8*$AE$4)</f>
        <v>4793135.8853440005</v>
      </c>
      <c r="AF8" s="392">
        <f>IF(AC8=0,0,ROUND(AE8/AC8,4))</f>
        <v>0.60160000000000002</v>
      </c>
      <c r="AG8" s="391">
        <f>U8+AE8</f>
        <v>41564525.885343999</v>
      </c>
      <c r="AH8" s="390">
        <f>ROUND(AG8/C8,0)</f>
        <v>4541</v>
      </c>
      <c r="AI8" s="391">
        <f>'Table 4 Level 3'!O6</f>
        <v>1250440</v>
      </c>
      <c r="AJ8" s="390">
        <f t="shared" ref="AJ8:AJ71" si="8">AI8/C8</f>
        <v>136.60039327070135</v>
      </c>
      <c r="AK8" s="391">
        <f>AI8+AG8</f>
        <v>42814965.885343999</v>
      </c>
      <c r="AL8" s="390">
        <f>ROUND(AK8/C8,0)</f>
        <v>4677</v>
      </c>
      <c r="AM8" s="393">
        <f>'Table 4 Level 3'!R6</f>
        <v>8367492</v>
      </c>
      <c r="AN8" s="394">
        <f>AM8/C8</f>
        <v>914.08040201005031</v>
      </c>
      <c r="AO8" s="391">
        <f>AG8+AM8</f>
        <v>49932017.885343999</v>
      </c>
      <c r="AP8" s="390">
        <f>AO8/C8</f>
        <v>5454.6665813135241</v>
      </c>
      <c r="AQ8" s="392">
        <f>AO8/AW8</f>
        <v>0.72386832542911383</v>
      </c>
      <c r="AR8" s="395">
        <f>RANK(AQ8,$AQ$8:$AQ$76)</f>
        <v>15</v>
      </c>
      <c r="AS8" s="390">
        <f>ROUND(AC8+T8,2)</f>
        <v>19047403</v>
      </c>
      <c r="AT8" s="390">
        <f t="shared" ref="AT8:AT71" si="9">ROUND(AS8/C8,2)</f>
        <v>2080.77</v>
      </c>
      <c r="AU8" s="395">
        <f>RANK(AT8,$AT$8:$AT$76)</f>
        <v>60</v>
      </c>
      <c r="AV8" s="392">
        <f>AS8/AW8</f>
        <v>0.27613167457088622</v>
      </c>
      <c r="AW8" s="395">
        <f>AS8+AO8</f>
        <v>68979420.885343999</v>
      </c>
      <c r="AX8" s="396">
        <f t="shared" ref="AX8:AX71" si="10">AW8/C8</f>
        <v>7535.4403414183962</v>
      </c>
      <c r="AY8" s="395">
        <f>RANK(AX8,$AX$8:$AX$76)</f>
        <v>67</v>
      </c>
      <c r="AZ8" s="390">
        <v>50664176.955320001</v>
      </c>
      <c r="BA8" s="389">
        <f t="shared" ref="BA8:BA71" si="11">AO8-AZ8</f>
        <v>-732159.06997600198</v>
      </c>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row>
    <row r="9" spans="1:133" s="397" customFormat="1">
      <c r="A9" s="379">
        <v>2</v>
      </c>
      <c r="B9" s="380" t="s">
        <v>180</v>
      </c>
      <c r="C9" s="380">
        <f>'[4]Table 8   2-1-10 Membership'!U7</f>
        <v>4039</v>
      </c>
      <c r="D9" s="381">
        <v>2613</v>
      </c>
      <c r="E9" s="381">
        <f t="shared" si="1"/>
        <v>575</v>
      </c>
      <c r="F9" s="381">
        <v>1462</v>
      </c>
      <c r="G9" s="381">
        <f t="shared" si="2"/>
        <v>88</v>
      </c>
      <c r="H9" s="382">
        <v>429</v>
      </c>
      <c r="I9" s="381">
        <f t="shared" ref="I9:I72" si="12">ROUND($I$4*H9,0)</f>
        <v>644</v>
      </c>
      <c r="J9" s="382">
        <v>45</v>
      </c>
      <c r="K9" s="381">
        <f t="shared" ref="K9:K72" si="13">ROUND($K$4*J9,0)</f>
        <v>27</v>
      </c>
      <c r="L9" s="381">
        <f t="shared" si="3"/>
        <v>3461</v>
      </c>
      <c r="M9" s="384">
        <f t="shared" si="4"/>
        <v>9.2289999999999997E-2</v>
      </c>
      <c r="N9" s="381">
        <f t="shared" si="5"/>
        <v>373</v>
      </c>
      <c r="O9" s="381">
        <f t="shared" ref="O9:O72" si="14">E9+G9+I9+K9+N9</f>
        <v>1707</v>
      </c>
      <c r="P9" s="381">
        <f t="shared" si="6"/>
        <v>5746</v>
      </c>
      <c r="Q9" s="385">
        <f t="shared" ref="Q9:Q72" si="15">$Q$4</f>
        <v>3855</v>
      </c>
      <c r="R9" s="385">
        <f t="shared" si="7"/>
        <v>22150830</v>
      </c>
      <c r="S9" s="385">
        <f>'Table 6 (Local Deduct Calc.)'!J10</f>
        <v>3249721.5</v>
      </c>
      <c r="T9" s="385">
        <f t="shared" ref="T9:T72" si="16">IF((S9&gt;R9*$T$4),R9*$T$4,S9)</f>
        <v>3249721.5</v>
      </c>
      <c r="U9" s="386">
        <f t="shared" ref="U9:U72" si="17">R9-T9</f>
        <v>18901108.5</v>
      </c>
      <c r="V9" s="387">
        <f>ROUND(U9/R9,4)</f>
        <v>0.85329999999999995</v>
      </c>
      <c r="W9" s="387">
        <f t="shared" ref="W9:W72" si="18">ROUND(T9/R9,4)</f>
        <v>0.1467</v>
      </c>
      <c r="X9" s="388">
        <f t="shared" ref="X9:X72" si="19">T9/C9</f>
        <v>804.58566476850706</v>
      </c>
      <c r="Y9" s="385">
        <f>'Table 7 Local Revenue'!AQ9</f>
        <v>9913119.5</v>
      </c>
      <c r="Z9" s="385">
        <f t="shared" ref="Z9:Z72" si="20">IF(Y9-T9&gt;0,Y9-T9,0)</f>
        <v>6663398</v>
      </c>
      <c r="AA9" s="389">
        <f t="shared" ref="AA9:AA72" si="21">IF(Y9-T9&lt;0,Y9-T9,0)</f>
        <v>0</v>
      </c>
      <c r="AB9" s="390">
        <f t="shared" ref="AB9:AB72" si="22">R9*$AB$4</f>
        <v>7531282.2000000002</v>
      </c>
      <c r="AC9" s="390">
        <f t="shared" ref="AC9:AC72" si="23">IF(Z9&lt;AB9,Z9,AB9)</f>
        <v>6663398</v>
      </c>
      <c r="AD9" s="385">
        <f t="shared" ref="AD9:AD72" si="24">IF(AC9&gt;0,AC9*(W9*$AD$4),0)</f>
        <v>1681335.2369520001</v>
      </c>
      <c r="AE9" s="391">
        <f t="shared" ref="AE9:AE72" si="25">IF(AC9-AD9&gt;AC9*$AE$4,AC9-AD9,AC9*$AE$4)</f>
        <v>4982062.7630479997</v>
      </c>
      <c r="AF9" s="392">
        <f t="shared" ref="AF9:AF72" si="26">IF(AC9=0,0,ROUND(AE9/AC9,4))</f>
        <v>0.74770000000000003</v>
      </c>
      <c r="AG9" s="391">
        <f t="shared" ref="AG9:AG72" si="27">U9+AE9</f>
        <v>23883171.263048001</v>
      </c>
      <c r="AH9" s="390">
        <f t="shared" ref="AH9:AH72" si="28">ROUND(AG9/C9,0)</f>
        <v>5913</v>
      </c>
      <c r="AI9" s="391">
        <f>'Table 4 Level 3'!O7</f>
        <v>551729</v>
      </c>
      <c r="AJ9" s="390">
        <f t="shared" si="8"/>
        <v>136.60039613765784</v>
      </c>
      <c r="AK9" s="391">
        <f t="shared" ref="AK9:AK72" si="29">AI9+AG9</f>
        <v>24434900.263048001</v>
      </c>
      <c r="AL9" s="390">
        <f t="shared" ref="AL9:AL72" si="30">AK9/C9</f>
        <v>6049.7400997890572</v>
      </c>
      <c r="AM9" s="393">
        <f>'Table 4 Level 3'!R7</f>
        <v>3953859</v>
      </c>
      <c r="AN9" s="394">
        <f t="shared" ref="AN9:AN72" si="31">AM9/C9</f>
        <v>978.9202772963605</v>
      </c>
      <c r="AO9" s="391">
        <f t="shared" ref="AO9:AO72" si="32">AG9+AM9</f>
        <v>27837030.263048001</v>
      </c>
      <c r="AP9" s="390">
        <f t="shared" ref="AP9:AP72" si="33">AO9/C9</f>
        <v>6892.0599809477599</v>
      </c>
      <c r="AQ9" s="392">
        <f t="shared" ref="AQ9:AQ72" si="34">AO9/AW9</f>
        <v>0.73740184973508305</v>
      </c>
      <c r="AR9" s="395">
        <f t="shared" ref="AR9:AR72" si="35">RANK(AQ9,$AQ$8:$AQ$76)</f>
        <v>12</v>
      </c>
      <c r="AS9" s="390">
        <f t="shared" ref="AS9:AS72" si="36">ROUND(AC9+T9,2)</f>
        <v>9913119.5</v>
      </c>
      <c r="AT9" s="390">
        <f t="shared" si="9"/>
        <v>2454.35</v>
      </c>
      <c r="AU9" s="395">
        <f t="shared" ref="AU9:AU72" si="37">RANK(AT9,$AT$8:$AT$76)</f>
        <v>53</v>
      </c>
      <c r="AV9" s="392">
        <f t="shared" ref="AV9:AV72" si="38">AS9/AW9</f>
        <v>0.26259815026491701</v>
      </c>
      <c r="AW9" s="395">
        <f t="shared" ref="AW9:AW72" si="39">AS9+AO9</f>
        <v>37750149.763048001</v>
      </c>
      <c r="AX9" s="396">
        <f t="shared" si="10"/>
        <v>9346.4099438098547</v>
      </c>
      <c r="AY9" s="395">
        <f t="shared" ref="AY9:AY72" si="40">RANK(AX9,$AX$8:$AX$76)</f>
        <v>13</v>
      </c>
      <c r="AZ9" s="390">
        <v>27552320.276459999</v>
      </c>
      <c r="BA9" s="389">
        <f t="shared" si="11"/>
        <v>284709.98658800125</v>
      </c>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row>
    <row r="10" spans="1:133" s="397" customFormat="1">
      <c r="A10" s="379">
        <v>3</v>
      </c>
      <c r="B10" s="380" t="s">
        <v>181</v>
      </c>
      <c r="C10" s="380">
        <f>'[4]Table 8   2-1-10 Membership'!U8</f>
        <v>19509</v>
      </c>
      <c r="D10" s="381">
        <v>9296</v>
      </c>
      <c r="E10" s="381">
        <f t="shared" si="1"/>
        <v>2045</v>
      </c>
      <c r="F10" s="381">
        <v>7411.5</v>
      </c>
      <c r="G10" s="381">
        <f t="shared" si="2"/>
        <v>445</v>
      </c>
      <c r="H10" s="382">
        <v>2211</v>
      </c>
      <c r="I10" s="381">
        <f t="shared" si="12"/>
        <v>3317</v>
      </c>
      <c r="J10" s="382">
        <v>463</v>
      </c>
      <c r="K10" s="381">
        <f t="shared" si="13"/>
        <v>278</v>
      </c>
      <c r="L10" s="381">
        <f t="shared" si="3"/>
        <v>0</v>
      </c>
      <c r="M10" s="384">
        <f t="shared" si="4"/>
        <v>0</v>
      </c>
      <c r="N10" s="381">
        <f t="shared" si="5"/>
        <v>0</v>
      </c>
      <c r="O10" s="381">
        <f t="shared" si="14"/>
        <v>6085</v>
      </c>
      <c r="P10" s="381">
        <f t="shared" si="6"/>
        <v>25594</v>
      </c>
      <c r="Q10" s="385">
        <f t="shared" si="15"/>
        <v>3855</v>
      </c>
      <c r="R10" s="385">
        <f t="shared" si="7"/>
        <v>98664870</v>
      </c>
      <c r="S10" s="385">
        <f>'Table 6 (Local Deduct Calc.)'!J11</f>
        <v>34330790</v>
      </c>
      <c r="T10" s="385">
        <f t="shared" si="16"/>
        <v>34330790</v>
      </c>
      <c r="U10" s="386">
        <f t="shared" si="17"/>
        <v>64334080</v>
      </c>
      <c r="V10" s="387">
        <f t="shared" ref="V10:V72" si="41">ROUND(U10/R10,4)</f>
        <v>0.65200000000000002</v>
      </c>
      <c r="W10" s="387">
        <f t="shared" si="18"/>
        <v>0.34799999999999998</v>
      </c>
      <c r="X10" s="388">
        <f t="shared" si="19"/>
        <v>1759.7411451125122</v>
      </c>
      <c r="Y10" s="385">
        <f>'Table 7 Local Revenue'!AQ10</f>
        <v>95681790</v>
      </c>
      <c r="Z10" s="385">
        <f t="shared" si="20"/>
        <v>61351000</v>
      </c>
      <c r="AA10" s="389">
        <f t="shared" si="21"/>
        <v>0</v>
      </c>
      <c r="AB10" s="390">
        <f t="shared" si="22"/>
        <v>33546055.800000001</v>
      </c>
      <c r="AC10" s="390">
        <f t="shared" si="23"/>
        <v>33546055.800000001</v>
      </c>
      <c r="AD10" s="385">
        <f t="shared" si="24"/>
        <v>20079327.159648001</v>
      </c>
      <c r="AE10" s="391">
        <f t="shared" si="25"/>
        <v>13466728.640352</v>
      </c>
      <c r="AF10" s="392">
        <f t="shared" si="26"/>
        <v>0.40139999999999998</v>
      </c>
      <c r="AG10" s="391">
        <f t="shared" si="27"/>
        <v>77800808.640351996</v>
      </c>
      <c r="AH10" s="390">
        <f t="shared" si="28"/>
        <v>3988</v>
      </c>
      <c r="AI10" s="391">
        <f>'Table 4 Level 3'!O8</f>
        <v>2664937</v>
      </c>
      <c r="AJ10" s="390">
        <f t="shared" si="8"/>
        <v>136.60038956379108</v>
      </c>
      <c r="AK10" s="391">
        <f>AI10+AG10</f>
        <v>80465745.640351996</v>
      </c>
      <c r="AL10" s="390">
        <f t="shared" si="30"/>
        <v>4124.5448582885847</v>
      </c>
      <c r="AM10" s="393">
        <f>'Table 4 Level 3'!R8</f>
        <v>14308689</v>
      </c>
      <c r="AN10" s="394">
        <f t="shared" si="31"/>
        <v>733.44041211748424</v>
      </c>
      <c r="AO10" s="391">
        <f t="shared" si="32"/>
        <v>92109497.640351996</v>
      </c>
      <c r="AP10" s="390">
        <f t="shared" si="33"/>
        <v>4721.3848808422781</v>
      </c>
      <c r="AQ10" s="392">
        <f t="shared" si="34"/>
        <v>0.57573350112032129</v>
      </c>
      <c r="AR10" s="395">
        <f t="shared" si="35"/>
        <v>48</v>
      </c>
      <c r="AS10" s="390">
        <f t="shared" si="36"/>
        <v>67876845.799999997</v>
      </c>
      <c r="AT10" s="390">
        <f t="shared" si="9"/>
        <v>3479.26</v>
      </c>
      <c r="AU10" s="395">
        <f t="shared" si="37"/>
        <v>27</v>
      </c>
      <c r="AV10" s="392">
        <f t="shared" si="38"/>
        <v>0.42426649887967877</v>
      </c>
      <c r="AW10" s="395">
        <f t="shared" si="39"/>
        <v>159986343.44035199</v>
      </c>
      <c r="AX10" s="396">
        <f t="shared" si="10"/>
        <v>8200.6429566021834</v>
      </c>
      <c r="AY10" s="395">
        <f t="shared" si="40"/>
        <v>55</v>
      </c>
      <c r="AZ10" s="390">
        <v>87739016.285220802</v>
      </c>
      <c r="BA10" s="389">
        <f t="shared" si="11"/>
        <v>4370481.355131194</v>
      </c>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row>
    <row r="11" spans="1:133" s="397" customFormat="1">
      <c r="A11" s="379">
        <v>4</v>
      </c>
      <c r="B11" s="380" t="s">
        <v>182</v>
      </c>
      <c r="C11" s="380">
        <f>'[4]Table 8   2-1-10 Membership'!U9</f>
        <v>3556</v>
      </c>
      <c r="D11" s="381">
        <v>2396</v>
      </c>
      <c r="E11" s="381">
        <f t="shared" si="1"/>
        <v>527</v>
      </c>
      <c r="F11" s="381">
        <v>1464.5</v>
      </c>
      <c r="G11" s="381">
        <f t="shared" si="2"/>
        <v>88</v>
      </c>
      <c r="H11" s="382">
        <v>463</v>
      </c>
      <c r="I11" s="381">
        <f t="shared" si="12"/>
        <v>695</v>
      </c>
      <c r="J11" s="382">
        <v>91</v>
      </c>
      <c r="K11" s="381">
        <f t="shared" si="13"/>
        <v>55</v>
      </c>
      <c r="L11" s="381">
        <f t="shared" si="3"/>
        <v>3944</v>
      </c>
      <c r="M11" s="384">
        <f t="shared" si="4"/>
        <v>0.10517</v>
      </c>
      <c r="N11" s="381">
        <f t="shared" si="5"/>
        <v>374</v>
      </c>
      <c r="O11" s="381">
        <f t="shared" si="14"/>
        <v>1739</v>
      </c>
      <c r="P11" s="381">
        <f t="shared" si="6"/>
        <v>5295</v>
      </c>
      <c r="Q11" s="385">
        <f t="shared" si="15"/>
        <v>3855</v>
      </c>
      <c r="R11" s="385">
        <f t="shared" si="7"/>
        <v>20412225</v>
      </c>
      <c r="S11" s="385">
        <f>'Table 6 (Local Deduct Calc.)'!J12</f>
        <v>3817493.5</v>
      </c>
      <c r="T11" s="385">
        <f t="shared" si="16"/>
        <v>3817493.5</v>
      </c>
      <c r="U11" s="386">
        <f t="shared" si="17"/>
        <v>16594731.5</v>
      </c>
      <c r="V11" s="387">
        <f t="shared" si="41"/>
        <v>0.81299999999999994</v>
      </c>
      <c r="W11" s="387">
        <f t="shared" si="18"/>
        <v>0.187</v>
      </c>
      <c r="X11" s="388">
        <f t="shared" si="19"/>
        <v>1073.5358548931383</v>
      </c>
      <c r="Y11" s="385">
        <f>'Table 7 Local Revenue'!AQ11</f>
        <v>10192717.5</v>
      </c>
      <c r="Z11" s="385">
        <f t="shared" si="20"/>
        <v>6375224</v>
      </c>
      <c r="AA11" s="389">
        <f t="shared" si="21"/>
        <v>0</v>
      </c>
      <c r="AB11" s="390">
        <f t="shared" si="22"/>
        <v>6940156.5000000009</v>
      </c>
      <c r="AC11" s="390">
        <f t="shared" si="23"/>
        <v>6375224</v>
      </c>
      <c r="AD11" s="385">
        <f t="shared" si="24"/>
        <v>2050527.04736</v>
      </c>
      <c r="AE11" s="391">
        <f t="shared" si="25"/>
        <v>4324696.9526399998</v>
      </c>
      <c r="AF11" s="392">
        <f t="shared" si="26"/>
        <v>0.6784</v>
      </c>
      <c r="AG11" s="391">
        <f t="shared" si="27"/>
        <v>20919428.452640001</v>
      </c>
      <c r="AH11" s="390">
        <f t="shared" si="28"/>
        <v>5883</v>
      </c>
      <c r="AI11" s="391">
        <f>'Table 4 Level 3'!O9</f>
        <v>565751</v>
      </c>
      <c r="AJ11" s="390">
        <f t="shared" si="8"/>
        <v>159.09758155230597</v>
      </c>
      <c r="AK11" s="391">
        <f t="shared" si="29"/>
        <v>21485179.452640001</v>
      </c>
      <c r="AL11" s="390">
        <f t="shared" si="30"/>
        <v>6041.9514771203603</v>
      </c>
      <c r="AM11" s="393">
        <f>'Table 4 Level 3'!R9</f>
        <v>2648714</v>
      </c>
      <c r="AN11" s="394">
        <f t="shared" si="31"/>
        <v>744.85770528683918</v>
      </c>
      <c r="AO11" s="391">
        <f t="shared" si="32"/>
        <v>23568142.452640001</v>
      </c>
      <c r="AP11" s="390">
        <f t="shared" si="33"/>
        <v>6627.7116008548937</v>
      </c>
      <c r="AQ11" s="392">
        <f t="shared" si="34"/>
        <v>0.69809070283463093</v>
      </c>
      <c r="AR11" s="395">
        <f t="shared" si="35"/>
        <v>23</v>
      </c>
      <c r="AS11" s="390">
        <f t="shared" si="36"/>
        <v>10192717.5</v>
      </c>
      <c r="AT11" s="390">
        <f t="shared" si="9"/>
        <v>2866.34</v>
      </c>
      <c r="AU11" s="395">
        <f t="shared" si="37"/>
        <v>43</v>
      </c>
      <c r="AV11" s="392">
        <f t="shared" si="38"/>
        <v>0.30190929716536918</v>
      </c>
      <c r="AW11" s="395">
        <f t="shared" si="39"/>
        <v>33760859.952639997</v>
      </c>
      <c r="AX11" s="396">
        <f t="shared" si="10"/>
        <v>9494.0551047918998</v>
      </c>
      <c r="AY11" s="395">
        <f t="shared" si="40"/>
        <v>9</v>
      </c>
      <c r="AZ11" s="390">
        <v>24227039.453759998</v>
      </c>
      <c r="BA11" s="389">
        <f t="shared" si="11"/>
        <v>-658897.00111999735</v>
      </c>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row>
    <row r="12" spans="1:133" s="416" customFormat="1">
      <c r="A12" s="398">
        <v>5</v>
      </c>
      <c r="B12" s="399" t="s">
        <v>183</v>
      </c>
      <c r="C12" s="399">
        <f>'[4]Table 8   2-1-10 Membership'!U10</f>
        <v>5802</v>
      </c>
      <c r="D12" s="400">
        <v>4695</v>
      </c>
      <c r="E12" s="400">
        <f t="shared" si="1"/>
        <v>1033</v>
      </c>
      <c r="F12" s="400">
        <v>2222.5</v>
      </c>
      <c r="G12" s="400">
        <f t="shared" si="2"/>
        <v>133</v>
      </c>
      <c r="H12" s="401">
        <v>587</v>
      </c>
      <c r="I12" s="400">
        <f t="shared" si="12"/>
        <v>881</v>
      </c>
      <c r="J12" s="401">
        <v>12</v>
      </c>
      <c r="K12" s="400">
        <f t="shared" si="13"/>
        <v>7</v>
      </c>
      <c r="L12" s="400">
        <f t="shared" si="3"/>
        <v>1698</v>
      </c>
      <c r="M12" s="402">
        <f t="shared" si="4"/>
        <v>4.5280000000000001E-2</v>
      </c>
      <c r="N12" s="400">
        <f t="shared" si="5"/>
        <v>263</v>
      </c>
      <c r="O12" s="400">
        <f t="shared" si="14"/>
        <v>2317</v>
      </c>
      <c r="P12" s="381">
        <f t="shared" si="6"/>
        <v>8119</v>
      </c>
      <c r="Q12" s="403">
        <f t="shared" si="15"/>
        <v>3855</v>
      </c>
      <c r="R12" s="403">
        <f t="shared" si="7"/>
        <v>31298745</v>
      </c>
      <c r="S12" s="403">
        <f>'Table 6 (Local Deduct Calc.)'!J13</f>
        <v>5237919.5</v>
      </c>
      <c r="T12" s="403">
        <f t="shared" si="16"/>
        <v>5237919.5</v>
      </c>
      <c r="U12" s="404">
        <f t="shared" si="17"/>
        <v>26060825.5</v>
      </c>
      <c r="V12" s="405">
        <f t="shared" si="41"/>
        <v>0.83260000000000001</v>
      </c>
      <c r="W12" s="406">
        <f t="shared" si="18"/>
        <v>0.16739999999999999</v>
      </c>
      <c r="X12" s="407">
        <f t="shared" si="19"/>
        <v>902.77826611513274</v>
      </c>
      <c r="Y12" s="403">
        <f>'Table 7 Local Revenue'!AQ12</f>
        <v>7294778.5</v>
      </c>
      <c r="Z12" s="403">
        <f t="shared" si="20"/>
        <v>2056859</v>
      </c>
      <c r="AA12" s="408">
        <f t="shared" si="21"/>
        <v>0</v>
      </c>
      <c r="AB12" s="409">
        <f t="shared" si="22"/>
        <v>10641573.300000001</v>
      </c>
      <c r="AC12" s="409">
        <f t="shared" si="23"/>
        <v>2056859</v>
      </c>
      <c r="AD12" s="403">
        <f t="shared" si="24"/>
        <v>592227.29815199994</v>
      </c>
      <c r="AE12" s="410">
        <f t="shared" si="25"/>
        <v>1464631.7018480001</v>
      </c>
      <c r="AF12" s="411">
        <f t="shared" si="26"/>
        <v>0.71209999999999996</v>
      </c>
      <c r="AG12" s="410">
        <f t="shared" si="27"/>
        <v>27525457.201848</v>
      </c>
      <c r="AH12" s="409">
        <f t="shared" si="28"/>
        <v>4744</v>
      </c>
      <c r="AI12" s="410">
        <f>'Table 4 Level 3'!O10</f>
        <v>792556</v>
      </c>
      <c r="AJ12" s="409">
        <f t="shared" si="8"/>
        <v>136.60048259220957</v>
      </c>
      <c r="AK12" s="410">
        <f t="shared" si="29"/>
        <v>28318013.201848</v>
      </c>
      <c r="AL12" s="409">
        <f t="shared" si="30"/>
        <v>4880.7330578848678</v>
      </c>
      <c r="AM12" s="412">
        <f>'Table 4 Level 3'!R10</f>
        <v>4017946</v>
      </c>
      <c r="AN12" s="413">
        <f t="shared" si="31"/>
        <v>692.51051361599445</v>
      </c>
      <c r="AO12" s="410">
        <f t="shared" si="32"/>
        <v>31543403.201848</v>
      </c>
      <c r="AP12" s="409">
        <f t="shared" si="33"/>
        <v>5436.6430889086523</v>
      </c>
      <c r="AQ12" s="411">
        <f t="shared" si="34"/>
        <v>0.812175076680974</v>
      </c>
      <c r="AR12" s="414">
        <f t="shared" si="35"/>
        <v>3</v>
      </c>
      <c r="AS12" s="409">
        <f t="shared" si="36"/>
        <v>7294778.5</v>
      </c>
      <c r="AT12" s="409">
        <f t="shared" si="9"/>
        <v>1257.29</v>
      </c>
      <c r="AU12" s="414">
        <f t="shared" si="37"/>
        <v>69</v>
      </c>
      <c r="AV12" s="411">
        <f t="shared" si="38"/>
        <v>0.187824923319026</v>
      </c>
      <c r="AW12" s="414">
        <f t="shared" si="39"/>
        <v>38838181.701848</v>
      </c>
      <c r="AX12" s="415">
        <f t="shared" si="10"/>
        <v>6693.9299727418129</v>
      </c>
      <c r="AY12" s="414">
        <f t="shared" si="40"/>
        <v>69</v>
      </c>
      <c r="AZ12" s="409">
        <v>31862661.934856001</v>
      </c>
      <c r="BA12" s="408">
        <f t="shared" si="11"/>
        <v>-319258.733008001</v>
      </c>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row>
    <row r="13" spans="1:133" s="397" customFormat="1">
      <c r="A13" s="379">
        <v>6</v>
      </c>
      <c r="B13" s="380" t="s">
        <v>184</v>
      </c>
      <c r="C13" s="380">
        <f>'[4]Table 8   2-1-10 Membership'!U11</f>
        <v>6041</v>
      </c>
      <c r="D13" s="380">
        <v>3216</v>
      </c>
      <c r="E13" s="380">
        <f t="shared" si="1"/>
        <v>708</v>
      </c>
      <c r="F13" s="380">
        <v>2049</v>
      </c>
      <c r="G13" s="380">
        <f t="shared" si="2"/>
        <v>123</v>
      </c>
      <c r="H13" s="382">
        <v>993</v>
      </c>
      <c r="I13" s="380">
        <f t="shared" si="12"/>
        <v>1490</v>
      </c>
      <c r="J13" s="382">
        <v>85</v>
      </c>
      <c r="K13" s="381">
        <f t="shared" si="13"/>
        <v>51</v>
      </c>
      <c r="L13" s="381">
        <f t="shared" si="3"/>
        <v>1459</v>
      </c>
      <c r="M13" s="384">
        <f t="shared" si="4"/>
        <v>3.891E-2</v>
      </c>
      <c r="N13" s="381">
        <f t="shared" si="5"/>
        <v>235</v>
      </c>
      <c r="O13" s="381">
        <f t="shared" si="14"/>
        <v>2607</v>
      </c>
      <c r="P13" s="417">
        <f t="shared" si="6"/>
        <v>8648</v>
      </c>
      <c r="Q13" s="385">
        <f t="shared" si="15"/>
        <v>3855</v>
      </c>
      <c r="R13" s="385">
        <f t="shared" si="7"/>
        <v>33338040</v>
      </c>
      <c r="S13" s="385">
        <f>'Table 6 (Local Deduct Calc.)'!J14</f>
        <v>6978587</v>
      </c>
      <c r="T13" s="385">
        <f t="shared" si="16"/>
        <v>6978587</v>
      </c>
      <c r="U13" s="386">
        <f t="shared" si="17"/>
        <v>26359453</v>
      </c>
      <c r="V13" s="387">
        <f t="shared" si="41"/>
        <v>0.79069999999999996</v>
      </c>
      <c r="W13" s="387">
        <f t="shared" si="18"/>
        <v>0.20930000000000001</v>
      </c>
      <c r="X13" s="388">
        <f t="shared" si="19"/>
        <v>1155.2039397450753</v>
      </c>
      <c r="Y13" s="385">
        <f>'Table 7 Local Revenue'!AQ13</f>
        <v>17700149</v>
      </c>
      <c r="Z13" s="385">
        <f t="shared" si="20"/>
        <v>10721562</v>
      </c>
      <c r="AA13" s="389">
        <f t="shared" si="21"/>
        <v>0</v>
      </c>
      <c r="AB13" s="390">
        <f t="shared" si="22"/>
        <v>11334933.600000001</v>
      </c>
      <c r="AC13" s="390">
        <f t="shared" si="23"/>
        <v>10721562</v>
      </c>
      <c r="AD13" s="385">
        <f t="shared" si="24"/>
        <v>3859719.4337520003</v>
      </c>
      <c r="AE13" s="391">
        <f t="shared" si="25"/>
        <v>6861842.5662479997</v>
      </c>
      <c r="AF13" s="392">
        <f t="shared" si="26"/>
        <v>0.64</v>
      </c>
      <c r="AG13" s="391">
        <f t="shared" si="27"/>
        <v>33221295.566248</v>
      </c>
      <c r="AH13" s="390">
        <f t="shared" si="28"/>
        <v>5499</v>
      </c>
      <c r="AI13" s="391">
        <f>'Table 4 Level 3'!O11</f>
        <v>825203</v>
      </c>
      <c r="AJ13" s="390">
        <f t="shared" si="8"/>
        <v>136.60039728521767</v>
      </c>
      <c r="AK13" s="391">
        <f t="shared" si="29"/>
        <v>34046498.566248</v>
      </c>
      <c r="AL13" s="390">
        <f t="shared" si="30"/>
        <v>5635.9044142108924</v>
      </c>
      <c r="AM13" s="393">
        <f>'Table 4 Level 3'!R11</f>
        <v>4120448</v>
      </c>
      <c r="AN13" s="394">
        <f t="shared" si="31"/>
        <v>682.08045025658009</v>
      </c>
      <c r="AO13" s="391">
        <f t="shared" si="32"/>
        <v>37341743.566248</v>
      </c>
      <c r="AP13" s="390">
        <f t="shared" si="33"/>
        <v>6181.3844671822544</v>
      </c>
      <c r="AQ13" s="392">
        <f t="shared" si="34"/>
        <v>0.67842404803402723</v>
      </c>
      <c r="AR13" s="395">
        <f t="shared" si="35"/>
        <v>29</v>
      </c>
      <c r="AS13" s="390">
        <f t="shared" si="36"/>
        <v>17700149</v>
      </c>
      <c r="AT13" s="390">
        <f t="shared" si="9"/>
        <v>2930</v>
      </c>
      <c r="AU13" s="395">
        <f t="shared" si="37"/>
        <v>39</v>
      </c>
      <c r="AV13" s="392">
        <f t="shared" si="38"/>
        <v>0.32157595196597277</v>
      </c>
      <c r="AW13" s="395">
        <f t="shared" si="39"/>
        <v>55041892.566248</v>
      </c>
      <c r="AX13" s="396">
        <f t="shared" si="10"/>
        <v>9111.3876123568953</v>
      </c>
      <c r="AY13" s="395">
        <f t="shared" si="40"/>
        <v>19</v>
      </c>
      <c r="AZ13" s="390">
        <v>36106290.590520002</v>
      </c>
      <c r="BA13" s="389">
        <f t="shared" si="11"/>
        <v>1235452.9757279977</v>
      </c>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row>
    <row r="14" spans="1:133" s="397" customFormat="1">
      <c r="A14" s="379">
        <v>7</v>
      </c>
      <c r="B14" s="380" t="s">
        <v>185</v>
      </c>
      <c r="C14" s="380">
        <f>'[4]Table 8   2-1-10 Membership'!U12</f>
        <v>2201</v>
      </c>
      <c r="D14" s="380">
        <v>1550</v>
      </c>
      <c r="E14" s="380">
        <f t="shared" si="1"/>
        <v>341</v>
      </c>
      <c r="F14" s="380">
        <v>809.5</v>
      </c>
      <c r="G14" s="380">
        <f t="shared" si="2"/>
        <v>49</v>
      </c>
      <c r="H14" s="382">
        <v>195</v>
      </c>
      <c r="I14" s="380">
        <f t="shared" si="12"/>
        <v>293</v>
      </c>
      <c r="J14" s="382">
        <v>17</v>
      </c>
      <c r="K14" s="381">
        <f t="shared" si="13"/>
        <v>10</v>
      </c>
      <c r="L14" s="381">
        <f t="shared" si="3"/>
        <v>5299</v>
      </c>
      <c r="M14" s="384">
        <f t="shared" si="4"/>
        <v>0.14130999999999999</v>
      </c>
      <c r="N14" s="381">
        <f t="shared" si="5"/>
        <v>311</v>
      </c>
      <c r="O14" s="381">
        <f t="shared" si="14"/>
        <v>1004</v>
      </c>
      <c r="P14" s="381">
        <f t="shared" si="6"/>
        <v>3205</v>
      </c>
      <c r="Q14" s="385">
        <f t="shared" si="15"/>
        <v>3855</v>
      </c>
      <c r="R14" s="385">
        <f t="shared" si="7"/>
        <v>12355275</v>
      </c>
      <c r="S14" s="385">
        <f>'Table 6 (Local Deduct Calc.)'!J15</f>
        <v>9657666</v>
      </c>
      <c r="T14" s="385">
        <f t="shared" si="16"/>
        <v>9266456.25</v>
      </c>
      <c r="U14" s="386">
        <f t="shared" si="17"/>
        <v>3088818.75</v>
      </c>
      <c r="V14" s="387">
        <f t="shared" si="41"/>
        <v>0.25</v>
      </c>
      <c r="W14" s="387">
        <f t="shared" si="18"/>
        <v>0.75</v>
      </c>
      <c r="X14" s="388">
        <f t="shared" si="19"/>
        <v>4210.1118809631989</v>
      </c>
      <c r="Y14" s="385">
        <f>'Table 7 Local Revenue'!AQ14</f>
        <v>28508946</v>
      </c>
      <c r="Z14" s="385">
        <f t="shared" si="20"/>
        <v>19242489.75</v>
      </c>
      <c r="AA14" s="389">
        <f t="shared" si="21"/>
        <v>0</v>
      </c>
      <c r="AB14" s="390">
        <f t="shared" si="22"/>
        <v>4200793.5</v>
      </c>
      <c r="AC14" s="390">
        <f t="shared" si="23"/>
        <v>4200793.5</v>
      </c>
      <c r="AD14" s="385">
        <f t="shared" si="24"/>
        <v>5419023.6150000002</v>
      </c>
      <c r="AE14" s="391">
        <f t="shared" si="25"/>
        <v>0</v>
      </c>
      <c r="AF14" s="392">
        <f t="shared" si="26"/>
        <v>0</v>
      </c>
      <c r="AG14" s="391">
        <f t="shared" si="27"/>
        <v>3088818.75</v>
      </c>
      <c r="AH14" s="390">
        <f t="shared" si="28"/>
        <v>1403</v>
      </c>
      <c r="AI14" s="391">
        <f>'Table 4 Level 3'!O12</f>
        <v>300657</v>
      </c>
      <c r="AJ14" s="390">
        <f t="shared" si="8"/>
        <v>136.60018173557475</v>
      </c>
      <c r="AK14" s="391">
        <f t="shared" si="29"/>
        <v>3389475.75</v>
      </c>
      <c r="AL14" s="390">
        <f t="shared" si="30"/>
        <v>1539.9708087233075</v>
      </c>
      <c r="AM14" s="393">
        <f>'Table 4 Level 3'!R12</f>
        <v>1966638</v>
      </c>
      <c r="AN14" s="394">
        <f t="shared" si="31"/>
        <v>893.52021808268967</v>
      </c>
      <c r="AO14" s="391">
        <f t="shared" si="32"/>
        <v>5055456.75</v>
      </c>
      <c r="AP14" s="390">
        <f t="shared" si="33"/>
        <v>2296.8908450704225</v>
      </c>
      <c r="AQ14" s="392">
        <f t="shared" si="34"/>
        <v>0.27293294044258598</v>
      </c>
      <c r="AR14" s="395">
        <f t="shared" si="35"/>
        <v>68</v>
      </c>
      <c r="AS14" s="390">
        <f t="shared" si="36"/>
        <v>13467249.75</v>
      </c>
      <c r="AT14" s="390">
        <f t="shared" si="9"/>
        <v>6118.7</v>
      </c>
      <c r="AU14" s="395">
        <f t="shared" si="37"/>
        <v>2</v>
      </c>
      <c r="AV14" s="392">
        <f t="shared" si="38"/>
        <v>0.72706705955741402</v>
      </c>
      <c r="AW14" s="395">
        <f t="shared" si="39"/>
        <v>18522706.5</v>
      </c>
      <c r="AX14" s="396">
        <f t="shared" si="10"/>
        <v>8415.586778736937</v>
      </c>
      <c r="AY14" s="395">
        <f t="shared" si="40"/>
        <v>44</v>
      </c>
      <c r="AZ14" s="390">
        <v>6015575</v>
      </c>
      <c r="BA14" s="389">
        <f t="shared" si="11"/>
        <v>-960118.25</v>
      </c>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row>
    <row r="15" spans="1:133" s="397" customFormat="1">
      <c r="A15" s="379">
        <v>8</v>
      </c>
      <c r="B15" s="380" t="s">
        <v>186</v>
      </c>
      <c r="C15" s="380">
        <f>'[4]Table 8   2-1-10 Membership'!U13</f>
        <v>20302</v>
      </c>
      <c r="D15" s="380">
        <v>9193</v>
      </c>
      <c r="E15" s="380">
        <f t="shared" si="1"/>
        <v>2022</v>
      </c>
      <c r="F15" s="380">
        <v>5885</v>
      </c>
      <c r="G15" s="380">
        <f t="shared" si="2"/>
        <v>353</v>
      </c>
      <c r="H15" s="382">
        <v>2248</v>
      </c>
      <c r="I15" s="380">
        <f t="shared" si="12"/>
        <v>3372</v>
      </c>
      <c r="J15" s="382">
        <v>731</v>
      </c>
      <c r="K15" s="381">
        <f t="shared" si="13"/>
        <v>439</v>
      </c>
      <c r="L15" s="381">
        <f t="shared" si="3"/>
        <v>0</v>
      </c>
      <c r="M15" s="384">
        <f t="shared" si="4"/>
        <v>0</v>
      </c>
      <c r="N15" s="381">
        <f t="shared" si="5"/>
        <v>0</v>
      </c>
      <c r="O15" s="381">
        <f t="shared" si="14"/>
        <v>6186</v>
      </c>
      <c r="P15" s="381">
        <f t="shared" si="6"/>
        <v>26488</v>
      </c>
      <c r="Q15" s="385">
        <f t="shared" si="15"/>
        <v>3855</v>
      </c>
      <c r="R15" s="385">
        <f t="shared" si="7"/>
        <v>102111240</v>
      </c>
      <c r="S15" s="385">
        <f>'Table 6 (Local Deduct Calc.)'!J16</f>
        <v>36892221.5</v>
      </c>
      <c r="T15" s="385">
        <f t="shared" si="16"/>
        <v>36892221.5</v>
      </c>
      <c r="U15" s="386">
        <f t="shared" si="17"/>
        <v>65219018.5</v>
      </c>
      <c r="V15" s="387">
        <f t="shared" si="41"/>
        <v>0.63870000000000005</v>
      </c>
      <c r="W15" s="387">
        <f t="shared" si="18"/>
        <v>0.36130000000000001</v>
      </c>
      <c r="X15" s="388">
        <f t="shared" si="19"/>
        <v>1817.1717811053097</v>
      </c>
      <c r="Y15" s="385">
        <f>'Table 7 Local Revenue'!AQ15</f>
        <v>85387256.5</v>
      </c>
      <c r="Z15" s="385">
        <f t="shared" si="20"/>
        <v>48495035</v>
      </c>
      <c r="AA15" s="389">
        <f t="shared" si="21"/>
        <v>0</v>
      </c>
      <c r="AB15" s="390">
        <f t="shared" si="22"/>
        <v>34717821.600000001</v>
      </c>
      <c r="AC15" s="390">
        <f t="shared" si="23"/>
        <v>34717821.600000001</v>
      </c>
      <c r="AD15" s="385">
        <f t="shared" si="24"/>
        <v>21574904.183817599</v>
      </c>
      <c r="AE15" s="391">
        <f t="shared" si="25"/>
        <v>13142917.416182403</v>
      </c>
      <c r="AF15" s="392">
        <f t="shared" si="26"/>
        <v>0.37859999999999999</v>
      </c>
      <c r="AG15" s="391">
        <f t="shared" si="27"/>
        <v>78361935.916182399</v>
      </c>
      <c r="AH15" s="390">
        <f t="shared" si="28"/>
        <v>3860</v>
      </c>
      <c r="AI15" s="391">
        <f>'Table 4 Level 3'!O13</f>
        <v>2873261</v>
      </c>
      <c r="AJ15" s="390">
        <f t="shared" si="8"/>
        <v>141.52600728992218</v>
      </c>
      <c r="AK15" s="391">
        <f t="shared" si="29"/>
        <v>81235196.916182399</v>
      </c>
      <c r="AL15" s="390">
        <f t="shared" si="30"/>
        <v>4001.3396175836074</v>
      </c>
      <c r="AM15" s="393">
        <f>'Table 4 Level 3'!R13</f>
        <v>17607641</v>
      </c>
      <c r="AN15" s="394">
        <f t="shared" si="31"/>
        <v>867.28603093291304</v>
      </c>
      <c r="AO15" s="391">
        <f t="shared" si="32"/>
        <v>95969576.916182399</v>
      </c>
      <c r="AP15" s="390">
        <f t="shared" si="33"/>
        <v>4727.0996412265986</v>
      </c>
      <c r="AQ15" s="392">
        <f t="shared" si="34"/>
        <v>0.57268047813281264</v>
      </c>
      <c r="AR15" s="395">
        <f t="shared" si="35"/>
        <v>49</v>
      </c>
      <c r="AS15" s="390">
        <f t="shared" si="36"/>
        <v>71610043.099999994</v>
      </c>
      <c r="AT15" s="390">
        <f t="shared" si="9"/>
        <v>3527.24</v>
      </c>
      <c r="AU15" s="395">
        <f t="shared" si="37"/>
        <v>25</v>
      </c>
      <c r="AV15" s="392">
        <f t="shared" si="38"/>
        <v>0.4273195218671873</v>
      </c>
      <c r="AW15" s="395">
        <f t="shared" si="39"/>
        <v>167579620.01618239</v>
      </c>
      <c r="AX15" s="396">
        <f t="shared" si="10"/>
        <v>8254.3404598651559</v>
      </c>
      <c r="AY15" s="395">
        <f t="shared" si="40"/>
        <v>53</v>
      </c>
      <c r="AZ15" s="390">
        <v>96602583.645658404</v>
      </c>
      <c r="BA15" s="389">
        <f t="shared" si="11"/>
        <v>-633006.72947600484</v>
      </c>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row>
    <row r="16" spans="1:133" s="397" customFormat="1">
      <c r="A16" s="379">
        <v>9</v>
      </c>
      <c r="B16" s="380" t="s">
        <v>77</v>
      </c>
      <c r="C16" s="382">
        <f>'[4]Table 8   2-1-10 Membership'!U14+'[4]Table 8   2-1-10 Membership'!U172</f>
        <v>41412</v>
      </c>
      <c r="D16" s="382">
        <f>26950+189+424</f>
        <v>27563</v>
      </c>
      <c r="E16" s="382">
        <f t="shared" si="1"/>
        <v>6064</v>
      </c>
      <c r="F16" s="382">
        <v>11974.5</v>
      </c>
      <c r="G16" s="382">
        <f t="shared" si="2"/>
        <v>718</v>
      </c>
      <c r="H16" s="382">
        <f>4243+51+21</f>
        <v>4315</v>
      </c>
      <c r="I16" s="382">
        <f t="shared" si="12"/>
        <v>6473</v>
      </c>
      <c r="J16" s="382">
        <f>1735+1</f>
        <v>1736</v>
      </c>
      <c r="K16" s="381">
        <f t="shared" si="13"/>
        <v>1042</v>
      </c>
      <c r="L16" s="381">
        <f t="shared" si="3"/>
        <v>0</v>
      </c>
      <c r="M16" s="384">
        <f t="shared" si="4"/>
        <v>0</v>
      </c>
      <c r="N16" s="381">
        <f t="shared" si="5"/>
        <v>0</v>
      </c>
      <c r="O16" s="381">
        <f t="shared" si="14"/>
        <v>14297</v>
      </c>
      <c r="P16" s="381">
        <f t="shared" si="6"/>
        <v>55709</v>
      </c>
      <c r="Q16" s="385">
        <f t="shared" si="15"/>
        <v>3855</v>
      </c>
      <c r="R16" s="385">
        <f t="shared" si="7"/>
        <v>214758195</v>
      </c>
      <c r="S16" s="385">
        <f>'Table 6 (Local Deduct Calc.)'!J17</f>
        <v>70790272</v>
      </c>
      <c r="T16" s="385">
        <f t="shared" si="16"/>
        <v>70790272</v>
      </c>
      <c r="U16" s="386">
        <f t="shared" si="17"/>
        <v>143967923</v>
      </c>
      <c r="V16" s="387">
        <f t="shared" si="41"/>
        <v>0.6704</v>
      </c>
      <c r="W16" s="387">
        <f t="shared" si="18"/>
        <v>0.3296</v>
      </c>
      <c r="X16" s="388">
        <f t="shared" si="19"/>
        <v>1709.4144692359703</v>
      </c>
      <c r="Y16" s="385">
        <f>'Table 7 Local Revenue'!AQ16</f>
        <v>183703540</v>
      </c>
      <c r="Z16" s="385">
        <f t="shared" si="20"/>
        <v>112913268</v>
      </c>
      <c r="AA16" s="389">
        <f t="shared" si="21"/>
        <v>0</v>
      </c>
      <c r="AB16" s="390">
        <f t="shared" si="22"/>
        <v>73017786.300000012</v>
      </c>
      <c r="AC16" s="390">
        <f t="shared" si="23"/>
        <v>73017786.300000012</v>
      </c>
      <c r="AD16" s="385">
        <f t="shared" si="24"/>
        <v>41394659.266905606</v>
      </c>
      <c r="AE16" s="391">
        <f t="shared" si="25"/>
        <v>31623127.033094406</v>
      </c>
      <c r="AF16" s="392">
        <f t="shared" si="26"/>
        <v>0.43309999999999998</v>
      </c>
      <c r="AG16" s="391">
        <f t="shared" si="27"/>
        <v>175591050.03309441</v>
      </c>
      <c r="AH16" s="390">
        <f t="shared" si="28"/>
        <v>4240</v>
      </c>
      <c r="AI16" s="391">
        <f>'Table 4 Level 3'!O14</f>
        <v>5996896</v>
      </c>
      <c r="AJ16" s="390">
        <f t="shared" si="8"/>
        <v>144.8105863034869</v>
      </c>
      <c r="AK16" s="391">
        <f t="shared" si="29"/>
        <v>181587946.03309441</v>
      </c>
      <c r="AL16" s="390">
        <f t="shared" si="30"/>
        <v>4384.9112825532311</v>
      </c>
      <c r="AM16" s="393">
        <f>'Table 4 Level 3'!R14</f>
        <v>36838897.120000005</v>
      </c>
      <c r="AN16" s="394">
        <f t="shared" si="31"/>
        <v>889.57058630348706</v>
      </c>
      <c r="AO16" s="391">
        <f t="shared" si="32"/>
        <v>212429947.15309441</v>
      </c>
      <c r="AP16" s="390">
        <f t="shared" si="33"/>
        <v>5129.6712825532313</v>
      </c>
      <c r="AQ16" s="392">
        <f t="shared" si="34"/>
        <v>0.59631466576090764</v>
      </c>
      <c r="AR16" s="395">
        <f t="shared" si="35"/>
        <v>44</v>
      </c>
      <c r="AS16" s="390">
        <f t="shared" si="36"/>
        <v>143808058.30000001</v>
      </c>
      <c r="AT16" s="390">
        <f t="shared" si="9"/>
        <v>3472.62</v>
      </c>
      <c r="AU16" s="395">
        <f t="shared" si="37"/>
        <v>28</v>
      </c>
      <c r="AV16" s="392">
        <f t="shared" si="38"/>
        <v>0.40368533423909231</v>
      </c>
      <c r="AW16" s="395">
        <f t="shared" si="39"/>
        <v>356238005.45309442</v>
      </c>
      <c r="AX16" s="396">
        <f t="shared" si="10"/>
        <v>8602.2893232177739</v>
      </c>
      <c r="AY16" s="395">
        <f t="shared" si="40"/>
        <v>39</v>
      </c>
      <c r="AZ16" s="390">
        <v>211051267.15651402</v>
      </c>
      <c r="BA16" s="389">
        <f t="shared" si="11"/>
        <v>1378679.9965803921</v>
      </c>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row>
    <row r="17" spans="1:133" s="416" customFormat="1">
      <c r="A17" s="398">
        <v>10</v>
      </c>
      <c r="B17" s="399" t="s">
        <v>187</v>
      </c>
      <c r="C17" s="401">
        <f>'[4]Table 8   2-1-10 Membership'!U15</f>
        <v>31370</v>
      </c>
      <c r="D17" s="401">
        <v>19082</v>
      </c>
      <c r="E17" s="401">
        <f t="shared" si="1"/>
        <v>4198</v>
      </c>
      <c r="F17" s="401">
        <v>7514.5</v>
      </c>
      <c r="G17" s="401">
        <f t="shared" si="2"/>
        <v>451</v>
      </c>
      <c r="H17" s="401">
        <v>4919</v>
      </c>
      <c r="I17" s="401">
        <f t="shared" si="12"/>
        <v>7379</v>
      </c>
      <c r="J17" s="401">
        <v>1235</v>
      </c>
      <c r="K17" s="400">
        <f t="shared" si="13"/>
        <v>741</v>
      </c>
      <c r="L17" s="400">
        <f t="shared" si="3"/>
        <v>0</v>
      </c>
      <c r="M17" s="402">
        <f t="shared" si="4"/>
        <v>0</v>
      </c>
      <c r="N17" s="400">
        <f t="shared" si="5"/>
        <v>0</v>
      </c>
      <c r="O17" s="400">
        <f t="shared" si="14"/>
        <v>12769</v>
      </c>
      <c r="P17" s="381">
        <f t="shared" si="6"/>
        <v>44139</v>
      </c>
      <c r="Q17" s="403">
        <f t="shared" si="15"/>
        <v>3855</v>
      </c>
      <c r="R17" s="403">
        <f t="shared" si="7"/>
        <v>170155845</v>
      </c>
      <c r="S17" s="403">
        <f>'Table 6 (Local Deduct Calc.)'!J18</f>
        <v>61510190</v>
      </c>
      <c r="T17" s="403">
        <f t="shared" si="16"/>
        <v>61510190</v>
      </c>
      <c r="U17" s="404">
        <f t="shared" si="17"/>
        <v>108645655</v>
      </c>
      <c r="V17" s="405">
        <f t="shared" si="41"/>
        <v>0.63849999999999996</v>
      </c>
      <c r="W17" s="406">
        <f t="shared" si="18"/>
        <v>0.36149999999999999</v>
      </c>
      <c r="X17" s="407">
        <f t="shared" si="19"/>
        <v>1960.7966209754543</v>
      </c>
      <c r="Y17" s="403">
        <f>'Table 7 Local Revenue'!AQ17</f>
        <v>129748230</v>
      </c>
      <c r="Z17" s="418">
        <f>IF(Y17-T17&gt;0,Y17-T17,0)</f>
        <v>68238040</v>
      </c>
      <c r="AA17" s="408">
        <f t="shared" si="21"/>
        <v>0</v>
      </c>
      <c r="AB17" s="409">
        <f t="shared" si="22"/>
        <v>57852987.300000004</v>
      </c>
      <c r="AC17" s="409">
        <f t="shared" si="23"/>
        <v>57852987.300000004</v>
      </c>
      <c r="AD17" s="403">
        <f t="shared" si="24"/>
        <v>35971830.443394005</v>
      </c>
      <c r="AE17" s="410">
        <f t="shared" si="25"/>
        <v>21881156.856605999</v>
      </c>
      <c r="AF17" s="411">
        <f t="shared" si="26"/>
        <v>0.37819999999999998</v>
      </c>
      <c r="AG17" s="410">
        <f t="shared" si="27"/>
        <v>130526811.85660601</v>
      </c>
      <c r="AH17" s="409">
        <f t="shared" si="28"/>
        <v>4161</v>
      </c>
      <c r="AI17" s="410">
        <f>'Table 4 Level 3'!O15</f>
        <v>4745155</v>
      </c>
      <c r="AJ17" s="409">
        <f t="shared" si="8"/>
        <v>151.26410583359899</v>
      </c>
      <c r="AK17" s="410">
        <f t="shared" si="29"/>
        <v>135271966.85660601</v>
      </c>
      <c r="AL17" s="409">
        <f t="shared" si="30"/>
        <v>4312.1443052791201</v>
      </c>
      <c r="AM17" s="412">
        <f>'Table 4 Level 3'!R15</f>
        <v>23819370</v>
      </c>
      <c r="AN17" s="413">
        <f t="shared" si="31"/>
        <v>759.30411220911697</v>
      </c>
      <c r="AO17" s="410">
        <f t="shared" si="32"/>
        <v>154346181.85660601</v>
      </c>
      <c r="AP17" s="409">
        <f t="shared" si="33"/>
        <v>4920.1843116546388</v>
      </c>
      <c r="AQ17" s="411">
        <f t="shared" si="34"/>
        <v>0.56390538610809804</v>
      </c>
      <c r="AR17" s="414">
        <f t="shared" si="35"/>
        <v>52</v>
      </c>
      <c r="AS17" s="409">
        <f t="shared" si="36"/>
        <v>119363177.3</v>
      </c>
      <c r="AT17" s="409">
        <f t="shared" si="9"/>
        <v>3805.01</v>
      </c>
      <c r="AU17" s="414">
        <f t="shared" si="37"/>
        <v>21</v>
      </c>
      <c r="AV17" s="411">
        <f t="shared" si="38"/>
        <v>0.43609461389190185</v>
      </c>
      <c r="AW17" s="414">
        <f t="shared" si="39"/>
        <v>273709359.15660602</v>
      </c>
      <c r="AX17" s="415">
        <f t="shared" si="10"/>
        <v>8725.1947451898632</v>
      </c>
      <c r="AY17" s="414">
        <f t="shared" si="40"/>
        <v>35</v>
      </c>
      <c r="AZ17" s="409">
        <v>146909071.962376</v>
      </c>
      <c r="BA17" s="408">
        <f t="shared" si="11"/>
        <v>7437109.8942300081</v>
      </c>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row>
    <row r="18" spans="1:133" s="397" customFormat="1">
      <c r="A18" s="379">
        <v>11</v>
      </c>
      <c r="B18" s="380" t="s">
        <v>188</v>
      </c>
      <c r="C18" s="382">
        <f>'[4]Table 8   2-1-10 Membership'!U16</f>
        <v>1605</v>
      </c>
      <c r="D18" s="382">
        <v>1141</v>
      </c>
      <c r="E18" s="382">
        <f t="shared" si="1"/>
        <v>251</v>
      </c>
      <c r="F18" s="382">
        <v>752.5</v>
      </c>
      <c r="G18" s="382">
        <f t="shared" si="2"/>
        <v>45</v>
      </c>
      <c r="H18" s="382">
        <v>240</v>
      </c>
      <c r="I18" s="382">
        <f t="shared" si="12"/>
        <v>360</v>
      </c>
      <c r="J18" s="382">
        <v>37</v>
      </c>
      <c r="K18" s="381">
        <f t="shared" si="13"/>
        <v>22</v>
      </c>
      <c r="L18" s="381">
        <f t="shared" si="3"/>
        <v>5895</v>
      </c>
      <c r="M18" s="384">
        <f t="shared" si="4"/>
        <v>0.15720000000000001</v>
      </c>
      <c r="N18" s="381">
        <f t="shared" si="5"/>
        <v>252</v>
      </c>
      <c r="O18" s="381">
        <f t="shared" si="14"/>
        <v>930</v>
      </c>
      <c r="P18" s="417">
        <f t="shared" si="6"/>
        <v>2535</v>
      </c>
      <c r="Q18" s="385">
        <f t="shared" si="15"/>
        <v>3855</v>
      </c>
      <c r="R18" s="385">
        <f t="shared" si="7"/>
        <v>9772425</v>
      </c>
      <c r="S18" s="385">
        <f>'Table 6 (Local Deduct Calc.)'!J19</f>
        <v>1649068</v>
      </c>
      <c r="T18" s="385">
        <f t="shared" si="16"/>
        <v>1649068</v>
      </c>
      <c r="U18" s="386">
        <f t="shared" si="17"/>
        <v>8123357</v>
      </c>
      <c r="V18" s="387">
        <f t="shared" si="41"/>
        <v>0.83130000000000004</v>
      </c>
      <c r="W18" s="387">
        <f t="shared" si="18"/>
        <v>0.16869999999999999</v>
      </c>
      <c r="X18" s="388">
        <f t="shared" si="19"/>
        <v>1027.4566978193147</v>
      </c>
      <c r="Y18" s="385">
        <f>'Table 7 Local Revenue'!AQ18</f>
        <v>5553239</v>
      </c>
      <c r="Z18" s="385">
        <f t="shared" si="20"/>
        <v>3904171</v>
      </c>
      <c r="AA18" s="389">
        <f t="shared" si="21"/>
        <v>0</v>
      </c>
      <c r="AB18" s="390">
        <f t="shared" si="22"/>
        <v>3322624.5000000005</v>
      </c>
      <c r="AC18" s="390">
        <f t="shared" si="23"/>
        <v>3322624.5000000005</v>
      </c>
      <c r="AD18" s="385">
        <f t="shared" si="24"/>
        <v>964106.01541800005</v>
      </c>
      <c r="AE18" s="391">
        <f t="shared" si="25"/>
        <v>2358518.4845820004</v>
      </c>
      <c r="AF18" s="392">
        <f t="shared" si="26"/>
        <v>0.70979999999999999</v>
      </c>
      <c r="AG18" s="391">
        <f t="shared" si="27"/>
        <v>10481875.484581999</v>
      </c>
      <c r="AH18" s="390">
        <f t="shared" si="28"/>
        <v>6531</v>
      </c>
      <c r="AI18" s="391">
        <f>'Table 4 Level 3'!O16</f>
        <v>219244</v>
      </c>
      <c r="AJ18" s="390">
        <f t="shared" si="8"/>
        <v>136.60062305295949</v>
      </c>
      <c r="AK18" s="391">
        <f t="shared" si="29"/>
        <v>10701119.484581999</v>
      </c>
      <c r="AL18" s="390">
        <f t="shared" si="30"/>
        <v>6667.3641648485982</v>
      </c>
      <c r="AM18" s="393">
        <f>'Table 4 Level 3'!R16</f>
        <v>1353257</v>
      </c>
      <c r="AN18" s="394">
        <f t="shared" si="31"/>
        <v>843.15077881619936</v>
      </c>
      <c r="AO18" s="391">
        <f t="shared" si="32"/>
        <v>11835132.484581999</v>
      </c>
      <c r="AP18" s="390">
        <f t="shared" si="33"/>
        <v>7373.9143206118379</v>
      </c>
      <c r="AQ18" s="392">
        <f t="shared" si="34"/>
        <v>0.70418609674576493</v>
      </c>
      <c r="AR18" s="395">
        <f t="shared" si="35"/>
        <v>22</v>
      </c>
      <c r="AS18" s="390">
        <f t="shared" si="36"/>
        <v>4971692.5</v>
      </c>
      <c r="AT18" s="390">
        <f t="shared" si="9"/>
        <v>3097.63</v>
      </c>
      <c r="AU18" s="395">
        <f t="shared" si="37"/>
        <v>36</v>
      </c>
      <c r="AV18" s="392">
        <f t="shared" si="38"/>
        <v>0.29581390325423507</v>
      </c>
      <c r="AW18" s="395">
        <f t="shared" si="39"/>
        <v>16806824.984581999</v>
      </c>
      <c r="AX18" s="396">
        <f t="shared" si="10"/>
        <v>10471.542046468536</v>
      </c>
      <c r="AY18" s="395">
        <f t="shared" si="40"/>
        <v>1</v>
      </c>
      <c r="AZ18" s="390">
        <v>11757223.784992</v>
      </c>
      <c r="BA18" s="389">
        <f t="shared" si="11"/>
        <v>77908.699589999393</v>
      </c>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row>
    <row r="19" spans="1:133" s="397" customFormat="1">
      <c r="A19" s="379">
        <v>12</v>
      </c>
      <c r="B19" s="380" t="s">
        <v>189</v>
      </c>
      <c r="C19" s="382">
        <f>'[4]Table 8   2-1-10 Membership'!U17</f>
        <v>1240</v>
      </c>
      <c r="D19" s="382">
        <v>549</v>
      </c>
      <c r="E19" s="382">
        <f t="shared" si="1"/>
        <v>121</v>
      </c>
      <c r="F19" s="382">
        <v>407</v>
      </c>
      <c r="G19" s="382">
        <f t="shared" si="2"/>
        <v>24</v>
      </c>
      <c r="H19" s="382">
        <v>172</v>
      </c>
      <c r="I19" s="382">
        <f t="shared" si="12"/>
        <v>258</v>
      </c>
      <c r="J19" s="382">
        <v>111</v>
      </c>
      <c r="K19" s="381">
        <f t="shared" si="13"/>
        <v>67</v>
      </c>
      <c r="L19" s="381">
        <f t="shared" si="3"/>
        <v>6260</v>
      </c>
      <c r="M19" s="384">
        <f t="shared" si="4"/>
        <v>0.16693</v>
      </c>
      <c r="N19" s="381">
        <f t="shared" si="5"/>
        <v>207</v>
      </c>
      <c r="O19" s="381">
        <f t="shared" si="14"/>
        <v>677</v>
      </c>
      <c r="P19" s="381">
        <f t="shared" si="6"/>
        <v>1917</v>
      </c>
      <c r="Q19" s="385">
        <f t="shared" si="15"/>
        <v>3855</v>
      </c>
      <c r="R19" s="385">
        <f t="shared" si="7"/>
        <v>7390035</v>
      </c>
      <c r="S19" s="385">
        <f>'Table 6 (Local Deduct Calc.)'!J20</f>
        <v>5564446.5</v>
      </c>
      <c r="T19" s="385">
        <f t="shared" si="16"/>
        <v>5542526.25</v>
      </c>
      <c r="U19" s="386">
        <f t="shared" si="17"/>
        <v>1847508.75</v>
      </c>
      <c r="V19" s="387">
        <f t="shared" si="41"/>
        <v>0.25</v>
      </c>
      <c r="W19" s="387">
        <f t="shared" si="18"/>
        <v>0.75</v>
      </c>
      <c r="X19" s="388">
        <f t="shared" si="19"/>
        <v>4469.7792338709678</v>
      </c>
      <c r="Y19" s="385">
        <f>'Table 7 Local Revenue'!AQ19</f>
        <v>13506440.5</v>
      </c>
      <c r="Z19" s="385">
        <f t="shared" si="20"/>
        <v>7963914.25</v>
      </c>
      <c r="AA19" s="389">
        <f t="shared" si="21"/>
        <v>0</v>
      </c>
      <c r="AB19" s="390">
        <f t="shared" si="22"/>
        <v>2512611.9000000004</v>
      </c>
      <c r="AC19" s="390">
        <f t="shared" si="23"/>
        <v>2512611.9000000004</v>
      </c>
      <c r="AD19" s="385">
        <f t="shared" si="24"/>
        <v>3241269.3510000007</v>
      </c>
      <c r="AE19" s="391">
        <f t="shared" si="25"/>
        <v>0</v>
      </c>
      <c r="AF19" s="392">
        <f t="shared" si="26"/>
        <v>0</v>
      </c>
      <c r="AG19" s="391">
        <f t="shared" si="27"/>
        <v>1847508.75</v>
      </c>
      <c r="AH19" s="390">
        <f t="shared" si="28"/>
        <v>1490</v>
      </c>
      <c r="AI19" s="391">
        <f>'Table 4 Level 3'!O17</f>
        <v>169384</v>
      </c>
      <c r="AJ19" s="390">
        <f t="shared" si="8"/>
        <v>136.6</v>
      </c>
      <c r="AK19" s="391">
        <f t="shared" si="29"/>
        <v>2016892.75</v>
      </c>
      <c r="AL19" s="390">
        <f t="shared" si="30"/>
        <v>1626.5264112903226</v>
      </c>
      <c r="AM19" s="393">
        <f>'Table 4 Level 3'!R17</f>
        <v>1487888</v>
      </c>
      <c r="AN19" s="394">
        <f t="shared" si="31"/>
        <v>1199.9096774193549</v>
      </c>
      <c r="AO19" s="391">
        <f t="shared" si="32"/>
        <v>3335396.75</v>
      </c>
      <c r="AP19" s="390">
        <f t="shared" si="33"/>
        <v>2689.8360887096774</v>
      </c>
      <c r="AQ19" s="392">
        <f t="shared" si="34"/>
        <v>0.29282178398838843</v>
      </c>
      <c r="AR19" s="395">
        <f t="shared" si="35"/>
        <v>67</v>
      </c>
      <c r="AS19" s="390">
        <f t="shared" si="36"/>
        <v>8055138.1500000004</v>
      </c>
      <c r="AT19" s="390">
        <f t="shared" si="9"/>
        <v>6496.08</v>
      </c>
      <c r="AU19" s="395">
        <f t="shared" si="37"/>
        <v>1</v>
      </c>
      <c r="AV19" s="392">
        <f t="shared" si="38"/>
        <v>0.70717821601161157</v>
      </c>
      <c r="AW19" s="395">
        <f t="shared" si="39"/>
        <v>11390534.9</v>
      </c>
      <c r="AX19" s="396">
        <f t="shared" si="10"/>
        <v>9185.915241935485</v>
      </c>
      <c r="AY19" s="395">
        <f t="shared" si="40"/>
        <v>17</v>
      </c>
      <c r="AZ19" s="390">
        <v>3805144</v>
      </c>
      <c r="BA19" s="389">
        <f t="shared" si="11"/>
        <v>-469747.25</v>
      </c>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row>
    <row r="20" spans="1:133" s="397" customFormat="1">
      <c r="A20" s="379">
        <v>13</v>
      </c>
      <c r="B20" s="380" t="s">
        <v>190</v>
      </c>
      <c r="C20" s="382">
        <f>'[4]Table 8   2-1-10 Membership'!U18</f>
        <v>1515</v>
      </c>
      <c r="D20" s="382">
        <v>1115</v>
      </c>
      <c r="E20" s="382">
        <f t="shared" si="1"/>
        <v>245</v>
      </c>
      <c r="F20" s="382">
        <v>531</v>
      </c>
      <c r="G20" s="382">
        <f t="shared" si="2"/>
        <v>32</v>
      </c>
      <c r="H20" s="382">
        <v>160</v>
      </c>
      <c r="I20" s="382">
        <f t="shared" si="12"/>
        <v>240</v>
      </c>
      <c r="J20" s="382">
        <v>35</v>
      </c>
      <c r="K20" s="381">
        <f t="shared" si="13"/>
        <v>21</v>
      </c>
      <c r="L20" s="381">
        <f t="shared" si="3"/>
        <v>5985</v>
      </c>
      <c r="M20" s="384">
        <f t="shared" si="4"/>
        <v>0.15959999999999999</v>
      </c>
      <c r="N20" s="381">
        <f t="shared" si="5"/>
        <v>242</v>
      </c>
      <c r="O20" s="381">
        <f t="shared" si="14"/>
        <v>780</v>
      </c>
      <c r="P20" s="381">
        <f t="shared" si="6"/>
        <v>2295</v>
      </c>
      <c r="Q20" s="385">
        <f t="shared" si="15"/>
        <v>3855</v>
      </c>
      <c r="R20" s="385">
        <f t="shared" si="7"/>
        <v>8847225</v>
      </c>
      <c r="S20" s="385">
        <f>'Table 6 (Local Deduct Calc.)'!J21</f>
        <v>1433887.5</v>
      </c>
      <c r="T20" s="385">
        <f t="shared" si="16"/>
        <v>1433887.5</v>
      </c>
      <c r="U20" s="386">
        <f t="shared" si="17"/>
        <v>7413337.5</v>
      </c>
      <c r="V20" s="387">
        <f t="shared" si="41"/>
        <v>0.83789999999999998</v>
      </c>
      <c r="W20" s="387">
        <f t="shared" si="18"/>
        <v>0.16209999999999999</v>
      </c>
      <c r="X20" s="388">
        <f t="shared" si="19"/>
        <v>946.46039603960401</v>
      </c>
      <c r="Y20" s="385">
        <f>'Table 7 Local Revenue'!AQ20</f>
        <v>3421469.5</v>
      </c>
      <c r="Z20" s="385">
        <f t="shared" si="20"/>
        <v>1987582</v>
      </c>
      <c r="AA20" s="389">
        <f t="shared" si="21"/>
        <v>0</v>
      </c>
      <c r="AB20" s="390">
        <f t="shared" si="22"/>
        <v>3008056.5</v>
      </c>
      <c r="AC20" s="390">
        <f t="shared" si="23"/>
        <v>1987582</v>
      </c>
      <c r="AD20" s="385">
        <f t="shared" si="24"/>
        <v>554161.71258399996</v>
      </c>
      <c r="AE20" s="391">
        <f t="shared" si="25"/>
        <v>1433420.2874159999</v>
      </c>
      <c r="AF20" s="392">
        <f t="shared" si="26"/>
        <v>0.72119999999999995</v>
      </c>
      <c r="AG20" s="391">
        <f t="shared" si="27"/>
        <v>8846757.7874159999</v>
      </c>
      <c r="AH20" s="390">
        <f t="shared" si="28"/>
        <v>5839</v>
      </c>
      <c r="AI20" s="391">
        <f>'Table 4 Level 3'!O18</f>
        <v>206950</v>
      </c>
      <c r="AJ20" s="390">
        <f t="shared" si="8"/>
        <v>136.60066006600661</v>
      </c>
      <c r="AK20" s="391">
        <f t="shared" si="29"/>
        <v>9053707.7874159999</v>
      </c>
      <c r="AL20" s="390">
        <f t="shared" si="30"/>
        <v>5976.0447441689766</v>
      </c>
      <c r="AM20" s="393">
        <f>'Table 4 Level 3'!R18</f>
        <v>1342336</v>
      </c>
      <c r="AN20" s="394">
        <f t="shared" si="31"/>
        <v>886.03036303630358</v>
      </c>
      <c r="AO20" s="391">
        <f t="shared" si="32"/>
        <v>10189093.787416</v>
      </c>
      <c r="AP20" s="390">
        <f t="shared" si="33"/>
        <v>6725.4744471392742</v>
      </c>
      <c r="AQ20" s="392">
        <f t="shared" si="34"/>
        <v>0.74861661286543457</v>
      </c>
      <c r="AR20" s="395">
        <f t="shared" si="35"/>
        <v>9</v>
      </c>
      <c r="AS20" s="390">
        <f t="shared" si="36"/>
        <v>3421469.5</v>
      </c>
      <c r="AT20" s="390">
        <f t="shared" si="9"/>
        <v>2258.4</v>
      </c>
      <c r="AU20" s="395">
        <f t="shared" si="37"/>
        <v>55</v>
      </c>
      <c r="AV20" s="392">
        <f t="shared" si="38"/>
        <v>0.25138338713456543</v>
      </c>
      <c r="AW20" s="395">
        <f t="shared" si="39"/>
        <v>13610563.287416</v>
      </c>
      <c r="AX20" s="396">
        <f t="shared" si="10"/>
        <v>8983.8701567102307</v>
      </c>
      <c r="AY20" s="395">
        <f t="shared" si="40"/>
        <v>23</v>
      </c>
      <c r="AZ20" s="390">
        <v>10176187.677344</v>
      </c>
      <c r="BA20" s="389">
        <f t="shared" si="11"/>
        <v>12906.110071999952</v>
      </c>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row>
    <row r="21" spans="1:133" s="397" customFormat="1">
      <c r="A21" s="379">
        <v>14</v>
      </c>
      <c r="B21" s="380" t="s">
        <v>191</v>
      </c>
      <c r="C21" s="382">
        <f>'[4]Table 8   2-1-10 Membership'!U19</f>
        <v>2009</v>
      </c>
      <c r="D21" s="382">
        <v>1492</v>
      </c>
      <c r="E21" s="382">
        <f t="shared" si="1"/>
        <v>328</v>
      </c>
      <c r="F21" s="382">
        <v>706</v>
      </c>
      <c r="G21" s="382">
        <f t="shared" si="2"/>
        <v>42</v>
      </c>
      <c r="H21" s="382">
        <v>351</v>
      </c>
      <c r="I21" s="382">
        <f t="shared" si="12"/>
        <v>527</v>
      </c>
      <c r="J21" s="382">
        <v>107</v>
      </c>
      <c r="K21" s="381">
        <f t="shared" si="13"/>
        <v>64</v>
      </c>
      <c r="L21" s="381">
        <f t="shared" si="3"/>
        <v>5491</v>
      </c>
      <c r="M21" s="384">
        <f t="shared" si="4"/>
        <v>0.14643</v>
      </c>
      <c r="N21" s="381">
        <f t="shared" si="5"/>
        <v>294</v>
      </c>
      <c r="O21" s="381">
        <f t="shared" si="14"/>
        <v>1255</v>
      </c>
      <c r="P21" s="381">
        <f t="shared" si="6"/>
        <v>3264</v>
      </c>
      <c r="Q21" s="385">
        <f t="shared" si="15"/>
        <v>3855</v>
      </c>
      <c r="R21" s="385">
        <f t="shared" si="7"/>
        <v>12582720</v>
      </c>
      <c r="S21" s="385">
        <f>'Table 6 (Local Deduct Calc.)'!J22</f>
        <v>3524497</v>
      </c>
      <c r="T21" s="385">
        <f t="shared" si="16"/>
        <v>3524497</v>
      </c>
      <c r="U21" s="386">
        <f t="shared" si="17"/>
        <v>9058223</v>
      </c>
      <c r="V21" s="387">
        <f t="shared" si="41"/>
        <v>0.71989999999999998</v>
      </c>
      <c r="W21" s="387">
        <f t="shared" si="18"/>
        <v>0.28010000000000002</v>
      </c>
      <c r="X21" s="388">
        <f t="shared" si="19"/>
        <v>1754.3539074166251</v>
      </c>
      <c r="Y21" s="385">
        <f>'Table 7 Local Revenue'!AQ21</f>
        <v>8297313</v>
      </c>
      <c r="Z21" s="385">
        <f t="shared" si="20"/>
        <v>4772816</v>
      </c>
      <c r="AA21" s="389">
        <f t="shared" si="21"/>
        <v>0</v>
      </c>
      <c r="AB21" s="390">
        <f t="shared" si="22"/>
        <v>4278124.8000000007</v>
      </c>
      <c r="AC21" s="390">
        <f t="shared" si="23"/>
        <v>4278124.8000000007</v>
      </c>
      <c r="AD21" s="385">
        <f t="shared" si="24"/>
        <v>2061080.7411456006</v>
      </c>
      <c r="AE21" s="391">
        <f t="shared" si="25"/>
        <v>2217044.0588544002</v>
      </c>
      <c r="AF21" s="392">
        <f t="shared" si="26"/>
        <v>0.51819999999999999</v>
      </c>
      <c r="AG21" s="391">
        <f t="shared" si="27"/>
        <v>11275267.058854401</v>
      </c>
      <c r="AH21" s="390">
        <f t="shared" si="28"/>
        <v>5612</v>
      </c>
      <c r="AI21" s="391">
        <f>'Table 4 Level 3'!O19</f>
        <v>274430</v>
      </c>
      <c r="AJ21" s="390">
        <f t="shared" si="8"/>
        <v>136.60029865604778</v>
      </c>
      <c r="AK21" s="391">
        <f t="shared" si="29"/>
        <v>11549697.058854401</v>
      </c>
      <c r="AL21" s="390">
        <f t="shared" si="30"/>
        <v>5748.9781278518667</v>
      </c>
      <c r="AM21" s="393">
        <f>'Table 4 Level 3'!R19</f>
        <v>1901680</v>
      </c>
      <c r="AN21" s="394">
        <f t="shared" si="31"/>
        <v>946.58038825286212</v>
      </c>
      <c r="AO21" s="391">
        <f t="shared" si="32"/>
        <v>13176947.058854401</v>
      </c>
      <c r="AP21" s="390">
        <f t="shared" si="33"/>
        <v>6558.9582174486814</v>
      </c>
      <c r="AQ21" s="392">
        <f t="shared" si="34"/>
        <v>0.62808474032549466</v>
      </c>
      <c r="AR21" s="395">
        <f t="shared" si="35"/>
        <v>42</v>
      </c>
      <c r="AS21" s="390">
        <f t="shared" si="36"/>
        <v>7802621.7999999998</v>
      </c>
      <c r="AT21" s="390">
        <f t="shared" si="9"/>
        <v>3883.83</v>
      </c>
      <c r="AU21" s="395">
        <f t="shared" si="37"/>
        <v>19</v>
      </c>
      <c r="AV21" s="392">
        <f t="shared" si="38"/>
        <v>0.37191525967450528</v>
      </c>
      <c r="AW21" s="395">
        <f t="shared" si="39"/>
        <v>20979568.858854402</v>
      </c>
      <c r="AX21" s="396">
        <f t="shared" si="10"/>
        <v>10442.791866030066</v>
      </c>
      <c r="AY21" s="395">
        <f t="shared" si="40"/>
        <v>2</v>
      </c>
      <c r="AZ21" s="390">
        <v>14167196.425771199</v>
      </c>
      <c r="BA21" s="389">
        <f t="shared" si="11"/>
        <v>-990249.36691679806</v>
      </c>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row>
    <row r="22" spans="1:133" s="416" customFormat="1">
      <c r="A22" s="398">
        <v>15</v>
      </c>
      <c r="B22" s="399" t="s">
        <v>192</v>
      </c>
      <c r="C22" s="401">
        <f>'[4]Table 8   2-1-10 Membership'!U20</f>
        <v>3692</v>
      </c>
      <c r="D22" s="401">
        <v>2815</v>
      </c>
      <c r="E22" s="401">
        <f t="shared" si="1"/>
        <v>619</v>
      </c>
      <c r="F22" s="401">
        <v>1020</v>
      </c>
      <c r="G22" s="401">
        <f t="shared" si="2"/>
        <v>61</v>
      </c>
      <c r="H22" s="401">
        <v>382</v>
      </c>
      <c r="I22" s="401">
        <f t="shared" si="12"/>
        <v>573</v>
      </c>
      <c r="J22" s="401">
        <v>60</v>
      </c>
      <c r="K22" s="400">
        <f t="shared" si="13"/>
        <v>36</v>
      </c>
      <c r="L22" s="400">
        <f t="shared" si="3"/>
        <v>3808</v>
      </c>
      <c r="M22" s="402">
        <f t="shared" si="4"/>
        <v>0.10155</v>
      </c>
      <c r="N22" s="400">
        <f t="shared" si="5"/>
        <v>375</v>
      </c>
      <c r="O22" s="400">
        <f t="shared" si="14"/>
        <v>1664</v>
      </c>
      <c r="P22" s="381">
        <f t="shared" si="6"/>
        <v>5356</v>
      </c>
      <c r="Q22" s="403">
        <f t="shared" si="15"/>
        <v>3855</v>
      </c>
      <c r="R22" s="403">
        <f t="shared" si="7"/>
        <v>20647380</v>
      </c>
      <c r="S22" s="403">
        <f>'Table 6 (Local Deduct Calc.)'!J23</f>
        <v>4319875</v>
      </c>
      <c r="T22" s="403">
        <f t="shared" si="16"/>
        <v>4319875</v>
      </c>
      <c r="U22" s="404">
        <f t="shared" si="17"/>
        <v>16327505</v>
      </c>
      <c r="V22" s="405">
        <f t="shared" si="41"/>
        <v>0.79079999999999995</v>
      </c>
      <c r="W22" s="406">
        <f t="shared" si="18"/>
        <v>0.2092</v>
      </c>
      <c r="X22" s="407">
        <f t="shared" si="19"/>
        <v>1170.0636511375949</v>
      </c>
      <c r="Y22" s="403">
        <f>'Table 7 Local Revenue'!AQ22</f>
        <v>9166405</v>
      </c>
      <c r="Z22" s="403">
        <f t="shared" si="20"/>
        <v>4846530</v>
      </c>
      <c r="AA22" s="408">
        <f t="shared" si="21"/>
        <v>0</v>
      </c>
      <c r="AB22" s="409">
        <f t="shared" si="22"/>
        <v>7020109.2000000002</v>
      </c>
      <c r="AC22" s="409">
        <f t="shared" si="23"/>
        <v>4846530</v>
      </c>
      <c r="AD22" s="403">
        <f t="shared" si="24"/>
        <v>1743897.81072</v>
      </c>
      <c r="AE22" s="410">
        <f t="shared" si="25"/>
        <v>3102632.18928</v>
      </c>
      <c r="AF22" s="411">
        <f t="shared" si="26"/>
        <v>0.64019999999999999</v>
      </c>
      <c r="AG22" s="410">
        <f t="shared" si="27"/>
        <v>19430137.18928</v>
      </c>
      <c r="AH22" s="409">
        <f t="shared" si="28"/>
        <v>5263</v>
      </c>
      <c r="AI22" s="410">
        <f>'Table 4 Level 3'!O20</f>
        <v>501409</v>
      </c>
      <c r="AJ22" s="409">
        <f t="shared" si="8"/>
        <v>135.80958829902491</v>
      </c>
      <c r="AK22" s="410">
        <f t="shared" si="29"/>
        <v>19931546.18928</v>
      </c>
      <c r="AL22" s="409">
        <f t="shared" si="30"/>
        <v>5398.5769743445289</v>
      </c>
      <c r="AM22" s="412">
        <f>'Table 4 Level 3'!R20</f>
        <v>2546039</v>
      </c>
      <c r="AN22" s="413">
        <f t="shared" si="31"/>
        <v>689.60969664138679</v>
      </c>
      <c r="AO22" s="410">
        <f t="shared" si="32"/>
        <v>21976176.18928</v>
      </c>
      <c r="AP22" s="409">
        <f t="shared" si="33"/>
        <v>5952.3770826868904</v>
      </c>
      <c r="AQ22" s="411">
        <f t="shared" si="34"/>
        <v>0.70566328640879361</v>
      </c>
      <c r="AR22" s="414">
        <f t="shared" si="35"/>
        <v>20</v>
      </c>
      <c r="AS22" s="409">
        <f t="shared" si="36"/>
        <v>9166405</v>
      </c>
      <c r="AT22" s="409">
        <f t="shared" si="9"/>
        <v>2482.77</v>
      </c>
      <c r="AU22" s="414">
        <f t="shared" si="37"/>
        <v>52</v>
      </c>
      <c r="AV22" s="411">
        <f t="shared" si="38"/>
        <v>0.29433671359120644</v>
      </c>
      <c r="AW22" s="414">
        <f t="shared" si="39"/>
        <v>31142581.18928</v>
      </c>
      <c r="AX22" s="415">
        <f t="shared" si="10"/>
        <v>8435.1520014301186</v>
      </c>
      <c r="AY22" s="414">
        <f t="shared" si="40"/>
        <v>43</v>
      </c>
      <c r="AZ22" s="409">
        <v>22129376.827904001</v>
      </c>
      <c r="BA22" s="408">
        <f t="shared" si="11"/>
        <v>-153200.63862400129</v>
      </c>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row>
    <row r="23" spans="1:133" s="397" customFormat="1">
      <c r="A23" s="379">
        <v>16</v>
      </c>
      <c r="B23" s="380" t="s">
        <v>193</v>
      </c>
      <c r="C23" s="382">
        <f>'[4]Table 8   2-1-10 Membership'!U21</f>
        <v>4677</v>
      </c>
      <c r="D23" s="382">
        <v>3078</v>
      </c>
      <c r="E23" s="382">
        <f t="shared" si="1"/>
        <v>677</v>
      </c>
      <c r="F23" s="382">
        <v>1529</v>
      </c>
      <c r="G23" s="382">
        <f t="shared" si="2"/>
        <v>92</v>
      </c>
      <c r="H23" s="382">
        <v>509</v>
      </c>
      <c r="I23" s="382">
        <f t="shared" si="12"/>
        <v>764</v>
      </c>
      <c r="J23" s="382">
        <v>128</v>
      </c>
      <c r="K23" s="381">
        <f t="shared" si="13"/>
        <v>77</v>
      </c>
      <c r="L23" s="381">
        <f t="shared" si="3"/>
        <v>2823</v>
      </c>
      <c r="M23" s="384">
        <f t="shared" si="4"/>
        <v>7.528E-2</v>
      </c>
      <c r="N23" s="381">
        <f t="shared" si="5"/>
        <v>352</v>
      </c>
      <c r="O23" s="381">
        <f t="shared" si="14"/>
        <v>1962</v>
      </c>
      <c r="P23" s="417">
        <f t="shared" si="6"/>
        <v>6639</v>
      </c>
      <c r="Q23" s="385">
        <f t="shared" si="15"/>
        <v>3855</v>
      </c>
      <c r="R23" s="385">
        <f t="shared" si="7"/>
        <v>25593345</v>
      </c>
      <c r="S23" s="385">
        <f>'Table 6 (Local Deduct Calc.)'!J24</f>
        <v>20509789.5</v>
      </c>
      <c r="T23" s="385">
        <f t="shared" si="16"/>
        <v>19195008.75</v>
      </c>
      <c r="U23" s="386">
        <f t="shared" si="17"/>
        <v>6398336.25</v>
      </c>
      <c r="V23" s="387">
        <f t="shared" si="41"/>
        <v>0.25</v>
      </c>
      <c r="W23" s="387">
        <f t="shared" si="18"/>
        <v>0.75</v>
      </c>
      <c r="X23" s="388">
        <f t="shared" si="19"/>
        <v>4104.1284477228992</v>
      </c>
      <c r="Y23" s="385">
        <f>'Table 7 Local Revenue'!AQ23</f>
        <v>78134850.5</v>
      </c>
      <c r="Z23" s="385">
        <f t="shared" si="20"/>
        <v>58939841.75</v>
      </c>
      <c r="AA23" s="389">
        <f t="shared" si="21"/>
        <v>0</v>
      </c>
      <c r="AB23" s="390">
        <f t="shared" si="22"/>
        <v>8701737.3000000007</v>
      </c>
      <c r="AC23" s="390">
        <f t="shared" si="23"/>
        <v>8701737.3000000007</v>
      </c>
      <c r="AD23" s="385">
        <f t="shared" si="24"/>
        <v>11225241.117000001</v>
      </c>
      <c r="AE23" s="391">
        <f t="shared" si="25"/>
        <v>0</v>
      </c>
      <c r="AF23" s="392">
        <f t="shared" si="26"/>
        <v>0</v>
      </c>
      <c r="AG23" s="391">
        <f t="shared" si="27"/>
        <v>6398336.25</v>
      </c>
      <c r="AH23" s="390">
        <f t="shared" si="28"/>
        <v>1368</v>
      </c>
      <c r="AI23" s="391">
        <f>'Table 4 Level 3'!O21</f>
        <v>678880</v>
      </c>
      <c r="AJ23" s="390">
        <f t="shared" si="8"/>
        <v>145.15287577506948</v>
      </c>
      <c r="AK23" s="391">
        <f t="shared" si="29"/>
        <v>7077216.25</v>
      </c>
      <c r="AL23" s="390">
        <f t="shared" si="30"/>
        <v>1513.1956916827025</v>
      </c>
      <c r="AM23" s="393">
        <f>'Table 4 Level 3'!R21</f>
        <v>3890716</v>
      </c>
      <c r="AN23" s="394">
        <f t="shared" si="31"/>
        <v>831.88283087449224</v>
      </c>
      <c r="AO23" s="391">
        <f t="shared" si="32"/>
        <v>10289052.25</v>
      </c>
      <c r="AP23" s="390">
        <f t="shared" si="33"/>
        <v>2199.9256467821251</v>
      </c>
      <c r="AQ23" s="392">
        <f t="shared" si="34"/>
        <v>0.26944709049070742</v>
      </c>
      <c r="AR23" s="395">
        <f t="shared" si="35"/>
        <v>69</v>
      </c>
      <c r="AS23" s="390">
        <f t="shared" si="36"/>
        <v>27896746.050000001</v>
      </c>
      <c r="AT23" s="390">
        <f t="shared" si="9"/>
        <v>5964.67</v>
      </c>
      <c r="AU23" s="395">
        <f t="shared" si="37"/>
        <v>4</v>
      </c>
      <c r="AV23" s="392">
        <f t="shared" si="38"/>
        <v>0.73055290950929275</v>
      </c>
      <c r="AW23" s="395">
        <f t="shared" si="39"/>
        <v>38185798.299999997</v>
      </c>
      <c r="AX23" s="396">
        <f t="shared" si="10"/>
        <v>8164.5923241394048</v>
      </c>
      <c r="AY23" s="395">
        <f t="shared" si="40"/>
        <v>58</v>
      </c>
      <c r="AZ23" s="390">
        <v>20414066.052136</v>
      </c>
      <c r="BA23" s="389">
        <f t="shared" si="11"/>
        <v>-10125013.802136</v>
      </c>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row>
    <row r="24" spans="1:133" s="397" customFormat="1">
      <c r="A24" s="379">
        <v>17</v>
      </c>
      <c r="B24" s="380" t="s">
        <v>75</v>
      </c>
      <c r="C24" s="382">
        <f>'[4]Table 8   2-1-10 Membership'!U22+'[4]Table 8   2-1-10 Membership'!U167+164</f>
        <v>43218</v>
      </c>
      <c r="D24" s="382">
        <f>33690+2143+123</f>
        <v>35956</v>
      </c>
      <c r="E24" s="382">
        <f t="shared" si="1"/>
        <v>7910</v>
      </c>
      <c r="F24" s="382">
        <f>9351+372.5</f>
        <v>9723.5</v>
      </c>
      <c r="G24" s="382">
        <f t="shared" si="2"/>
        <v>583</v>
      </c>
      <c r="H24" s="382">
        <f>4543+282+12</f>
        <v>4837</v>
      </c>
      <c r="I24" s="382">
        <f t="shared" si="12"/>
        <v>7256</v>
      </c>
      <c r="J24" s="382">
        <v>1574</v>
      </c>
      <c r="K24" s="380">
        <f t="shared" si="13"/>
        <v>944</v>
      </c>
      <c r="L24" s="381">
        <f t="shared" si="3"/>
        <v>0</v>
      </c>
      <c r="M24" s="384">
        <f t="shared" si="4"/>
        <v>0</v>
      </c>
      <c r="N24" s="381">
        <f t="shared" si="5"/>
        <v>0</v>
      </c>
      <c r="O24" s="381">
        <f t="shared" si="14"/>
        <v>16693</v>
      </c>
      <c r="P24" s="381">
        <f t="shared" si="6"/>
        <v>59911</v>
      </c>
      <c r="Q24" s="385">
        <f t="shared" si="15"/>
        <v>3855</v>
      </c>
      <c r="R24" s="385">
        <f t="shared" si="7"/>
        <v>230956905</v>
      </c>
      <c r="S24" s="385">
        <f>'Table 6 (Local Deduct Calc.)'!J25</f>
        <v>121424561</v>
      </c>
      <c r="T24" s="385">
        <f t="shared" si="16"/>
        <v>121424561</v>
      </c>
      <c r="U24" s="386">
        <f t="shared" si="17"/>
        <v>109532344</v>
      </c>
      <c r="V24" s="387">
        <f t="shared" si="41"/>
        <v>0.4743</v>
      </c>
      <c r="W24" s="387">
        <f t="shared" si="18"/>
        <v>0.52569999999999995</v>
      </c>
      <c r="X24" s="388">
        <f t="shared" si="19"/>
        <v>2809.5830672405018</v>
      </c>
      <c r="Y24" s="385">
        <f>'Table 7 Local Revenue'!AQ24</f>
        <v>280201144</v>
      </c>
      <c r="Z24" s="385">
        <f t="shared" si="20"/>
        <v>158776583</v>
      </c>
      <c r="AA24" s="389">
        <f t="shared" si="21"/>
        <v>0</v>
      </c>
      <c r="AB24" s="390">
        <f t="shared" si="22"/>
        <v>78525347.700000003</v>
      </c>
      <c r="AC24" s="390">
        <f t="shared" si="23"/>
        <v>78525347.700000003</v>
      </c>
      <c r="AD24" s="385">
        <f t="shared" si="24"/>
        <v>71002933.491730794</v>
      </c>
      <c r="AE24" s="391">
        <f t="shared" si="25"/>
        <v>7522414.2082692087</v>
      </c>
      <c r="AF24" s="392">
        <f t="shared" si="26"/>
        <v>9.5799999999999996E-2</v>
      </c>
      <c r="AG24" s="391">
        <f t="shared" si="27"/>
        <v>117054758.20826921</v>
      </c>
      <c r="AH24" s="390">
        <f t="shared" si="28"/>
        <v>2708</v>
      </c>
      <c r="AI24" s="391">
        <f>'Table 4 Level 3'!O22</f>
        <v>24129904</v>
      </c>
      <c r="AJ24" s="390">
        <f t="shared" si="8"/>
        <v>558.32995511129627</v>
      </c>
      <c r="AK24" s="391">
        <f t="shared" si="29"/>
        <v>141184662.20826921</v>
      </c>
      <c r="AL24" s="390">
        <f t="shared" si="30"/>
        <v>3266.8023094143459</v>
      </c>
      <c r="AM24" s="393">
        <f>'Table 4 Level 3'!R22</f>
        <v>58755364.180009969</v>
      </c>
      <c r="AN24" s="394">
        <f t="shared" si="31"/>
        <v>1359.5114114491639</v>
      </c>
      <c r="AO24" s="391">
        <f t="shared" si="32"/>
        <v>175810122.38827917</v>
      </c>
      <c r="AP24" s="390">
        <f t="shared" si="33"/>
        <v>4067.9837657522135</v>
      </c>
      <c r="AQ24" s="392">
        <f t="shared" si="34"/>
        <v>0.46787872004134268</v>
      </c>
      <c r="AR24" s="395">
        <f t="shared" si="35"/>
        <v>59</v>
      </c>
      <c r="AS24" s="390">
        <f t="shared" si="36"/>
        <v>199949908.69999999</v>
      </c>
      <c r="AT24" s="390">
        <f t="shared" si="9"/>
        <v>4626.54</v>
      </c>
      <c r="AU24" s="395">
        <f t="shared" si="37"/>
        <v>12</v>
      </c>
      <c r="AV24" s="392">
        <f t="shared" si="38"/>
        <v>0.53212127995865743</v>
      </c>
      <c r="AW24" s="395">
        <f t="shared" si="39"/>
        <v>375760031.08827913</v>
      </c>
      <c r="AX24" s="396">
        <f t="shared" si="10"/>
        <v>8694.5261485556748</v>
      </c>
      <c r="AY24" s="395">
        <f t="shared" si="40"/>
        <v>37</v>
      </c>
      <c r="AZ24" s="390">
        <v>171536588.82773501</v>
      </c>
      <c r="BA24" s="389">
        <f t="shared" si="11"/>
        <v>4273533.560544163</v>
      </c>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row>
    <row r="25" spans="1:133" s="397" customFormat="1">
      <c r="A25" s="379">
        <v>18</v>
      </c>
      <c r="B25" s="380" t="s">
        <v>194</v>
      </c>
      <c r="C25" s="382">
        <f>'[4]Table 8   2-1-10 Membership'!U23</f>
        <v>1163</v>
      </c>
      <c r="D25" s="382">
        <v>1087</v>
      </c>
      <c r="E25" s="382">
        <f t="shared" si="1"/>
        <v>239</v>
      </c>
      <c r="F25" s="382">
        <v>495.5</v>
      </c>
      <c r="G25" s="382">
        <f t="shared" si="2"/>
        <v>30</v>
      </c>
      <c r="H25" s="382">
        <v>141</v>
      </c>
      <c r="I25" s="382">
        <f t="shared" si="12"/>
        <v>212</v>
      </c>
      <c r="J25" s="382">
        <v>0</v>
      </c>
      <c r="K25" s="381">
        <f t="shared" si="13"/>
        <v>0</v>
      </c>
      <c r="L25" s="381">
        <f t="shared" si="3"/>
        <v>6337</v>
      </c>
      <c r="M25" s="384">
        <f t="shared" si="4"/>
        <v>0.16899</v>
      </c>
      <c r="N25" s="381">
        <f t="shared" si="5"/>
        <v>197</v>
      </c>
      <c r="O25" s="381">
        <f t="shared" si="14"/>
        <v>678</v>
      </c>
      <c r="P25" s="381">
        <f t="shared" si="6"/>
        <v>1841</v>
      </c>
      <c r="Q25" s="385">
        <f t="shared" si="15"/>
        <v>3855</v>
      </c>
      <c r="R25" s="385">
        <f t="shared" si="7"/>
        <v>7097055</v>
      </c>
      <c r="S25" s="385">
        <f>'Table 6 (Local Deduct Calc.)'!J26</f>
        <v>1205661</v>
      </c>
      <c r="T25" s="385">
        <f t="shared" si="16"/>
        <v>1205661</v>
      </c>
      <c r="U25" s="386">
        <f t="shared" si="17"/>
        <v>5891394</v>
      </c>
      <c r="V25" s="387">
        <f t="shared" si="41"/>
        <v>0.83009999999999995</v>
      </c>
      <c r="W25" s="387">
        <f t="shared" si="18"/>
        <v>0.1699</v>
      </c>
      <c r="X25" s="388">
        <f t="shared" si="19"/>
        <v>1036.6818572656921</v>
      </c>
      <c r="Y25" s="385">
        <f>'Table 7 Local Revenue'!AQ25</f>
        <v>2080927</v>
      </c>
      <c r="Z25" s="385">
        <f t="shared" si="20"/>
        <v>875266</v>
      </c>
      <c r="AA25" s="389">
        <f t="shared" si="21"/>
        <v>0</v>
      </c>
      <c r="AB25" s="390">
        <f t="shared" si="22"/>
        <v>2412998.7000000002</v>
      </c>
      <c r="AC25" s="390">
        <f t="shared" si="23"/>
        <v>875266</v>
      </c>
      <c r="AD25" s="385">
        <f t="shared" si="24"/>
        <v>255777.23264799998</v>
      </c>
      <c r="AE25" s="391">
        <f t="shared" si="25"/>
        <v>619488.767352</v>
      </c>
      <c r="AF25" s="392">
        <f t="shared" si="26"/>
        <v>0.70779999999999998</v>
      </c>
      <c r="AG25" s="391">
        <f t="shared" si="27"/>
        <v>6510882.7673519999</v>
      </c>
      <c r="AH25" s="390">
        <f t="shared" si="28"/>
        <v>5598</v>
      </c>
      <c r="AI25" s="391">
        <f>'Table 4 Level 3'!O23</f>
        <v>198866</v>
      </c>
      <c r="AJ25" s="390">
        <f t="shared" si="8"/>
        <v>170.99398108340498</v>
      </c>
      <c r="AK25" s="391">
        <f t="shared" si="29"/>
        <v>6709748.7673519999</v>
      </c>
      <c r="AL25" s="390">
        <f t="shared" si="30"/>
        <v>5769.3454577403263</v>
      </c>
      <c r="AM25" s="393">
        <f>'Table 4 Level 3'!R23</f>
        <v>1182706</v>
      </c>
      <c r="AN25" s="394">
        <f t="shared" si="31"/>
        <v>1016.9441100601891</v>
      </c>
      <c r="AO25" s="391">
        <f t="shared" si="32"/>
        <v>7693588.7673519999</v>
      </c>
      <c r="AP25" s="390">
        <f t="shared" si="33"/>
        <v>6615.2955867171104</v>
      </c>
      <c r="AQ25" s="392">
        <f t="shared" si="34"/>
        <v>0.78710689618502283</v>
      </c>
      <c r="AR25" s="395">
        <f t="shared" si="35"/>
        <v>5</v>
      </c>
      <c r="AS25" s="390">
        <f t="shared" si="36"/>
        <v>2080927</v>
      </c>
      <c r="AT25" s="390">
        <f t="shared" si="9"/>
        <v>1789.28</v>
      </c>
      <c r="AU25" s="395">
        <f t="shared" si="37"/>
        <v>64</v>
      </c>
      <c r="AV25" s="392">
        <f t="shared" si="38"/>
        <v>0.21289310381497711</v>
      </c>
      <c r="AW25" s="395">
        <f t="shared" si="39"/>
        <v>9774515.7673519999</v>
      </c>
      <c r="AX25" s="396">
        <f t="shared" si="10"/>
        <v>8404.5707371900262</v>
      </c>
      <c r="AY25" s="395">
        <f t="shared" si="40"/>
        <v>47</v>
      </c>
      <c r="AZ25" s="390">
        <v>8432647.1140080001</v>
      </c>
      <c r="BA25" s="389">
        <f t="shared" si="11"/>
        <v>-739058.34665600024</v>
      </c>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row>
    <row r="26" spans="1:133" s="397" customFormat="1">
      <c r="A26" s="379">
        <v>19</v>
      </c>
      <c r="B26" s="380" t="s">
        <v>195</v>
      </c>
      <c r="C26" s="382">
        <f>'[4]Table 8   2-1-10 Membership'!U24</f>
        <v>1958</v>
      </c>
      <c r="D26" s="382">
        <v>1682</v>
      </c>
      <c r="E26" s="382">
        <f t="shared" si="1"/>
        <v>370</v>
      </c>
      <c r="F26" s="382">
        <v>666</v>
      </c>
      <c r="G26" s="382">
        <f t="shared" si="2"/>
        <v>40</v>
      </c>
      <c r="H26" s="382">
        <v>283</v>
      </c>
      <c r="I26" s="382">
        <f t="shared" si="12"/>
        <v>425</v>
      </c>
      <c r="J26" s="382">
        <v>14</v>
      </c>
      <c r="K26" s="381">
        <f t="shared" si="13"/>
        <v>8</v>
      </c>
      <c r="L26" s="381">
        <f t="shared" si="3"/>
        <v>5542</v>
      </c>
      <c r="M26" s="384">
        <f t="shared" si="4"/>
        <v>0.14779</v>
      </c>
      <c r="N26" s="381">
        <f t="shared" si="5"/>
        <v>289</v>
      </c>
      <c r="O26" s="381">
        <f t="shared" si="14"/>
        <v>1132</v>
      </c>
      <c r="P26" s="381">
        <f t="shared" si="6"/>
        <v>3090</v>
      </c>
      <c r="Q26" s="385">
        <f t="shared" si="15"/>
        <v>3855</v>
      </c>
      <c r="R26" s="385">
        <f t="shared" si="7"/>
        <v>11911950</v>
      </c>
      <c r="S26" s="385">
        <f>'Table 6 (Local Deduct Calc.)'!J27</f>
        <v>2821639.5</v>
      </c>
      <c r="T26" s="385">
        <f t="shared" si="16"/>
        <v>2821639.5</v>
      </c>
      <c r="U26" s="386">
        <f t="shared" si="17"/>
        <v>9090310.5</v>
      </c>
      <c r="V26" s="387">
        <f t="shared" si="41"/>
        <v>0.7631</v>
      </c>
      <c r="W26" s="387">
        <f t="shared" si="18"/>
        <v>0.2369</v>
      </c>
      <c r="X26" s="388">
        <f t="shared" si="19"/>
        <v>1441.0824821246169</v>
      </c>
      <c r="Y26" s="385">
        <f>'Table 7 Local Revenue'!AQ26</f>
        <v>4225743.5</v>
      </c>
      <c r="Z26" s="385">
        <f t="shared" si="20"/>
        <v>1404104</v>
      </c>
      <c r="AA26" s="389">
        <f t="shared" si="21"/>
        <v>0</v>
      </c>
      <c r="AB26" s="390">
        <f t="shared" si="22"/>
        <v>4050063.0000000005</v>
      </c>
      <c r="AC26" s="390">
        <f t="shared" si="23"/>
        <v>1404104</v>
      </c>
      <c r="AD26" s="385">
        <f t="shared" si="24"/>
        <v>572127.44867199997</v>
      </c>
      <c r="AE26" s="391">
        <f t="shared" si="25"/>
        <v>831976.55132800003</v>
      </c>
      <c r="AF26" s="392">
        <f t="shared" si="26"/>
        <v>0.59250000000000003</v>
      </c>
      <c r="AG26" s="391">
        <f t="shared" si="27"/>
        <v>9922287.0513279997</v>
      </c>
      <c r="AH26" s="390">
        <f t="shared" si="28"/>
        <v>5068</v>
      </c>
      <c r="AI26" s="391">
        <f>'Table 4 Level 3'!O24</f>
        <v>267464</v>
      </c>
      <c r="AJ26" s="390">
        <f t="shared" si="8"/>
        <v>136.6006128702758</v>
      </c>
      <c r="AK26" s="391">
        <f t="shared" si="29"/>
        <v>10189751.051328</v>
      </c>
      <c r="AL26" s="390">
        <f t="shared" si="30"/>
        <v>5204.1629475628188</v>
      </c>
      <c r="AM26" s="393">
        <f>'Table 4 Level 3'!R24</f>
        <v>2040296</v>
      </c>
      <c r="AN26" s="394">
        <f t="shared" si="31"/>
        <v>1042.0306435137895</v>
      </c>
      <c r="AO26" s="391">
        <f t="shared" si="32"/>
        <v>11962583.051328</v>
      </c>
      <c r="AP26" s="390">
        <f t="shared" si="33"/>
        <v>6109.5929782063331</v>
      </c>
      <c r="AQ26" s="392">
        <f t="shared" si="34"/>
        <v>0.73896353729945341</v>
      </c>
      <c r="AR26" s="395">
        <f t="shared" si="35"/>
        <v>11</v>
      </c>
      <c r="AS26" s="390">
        <f t="shared" si="36"/>
        <v>4225743.5</v>
      </c>
      <c r="AT26" s="390">
        <f t="shared" si="9"/>
        <v>2158.19</v>
      </c>
      <c r="AU26" s="395">
        <f t="shared" si="37"/>
        <v>58</v>
      </c>
      <c r="AV26" s="392">
        <f t="shared" si="38"/>
        <v>0.26103646270054665</v>
      </c>
      <c r="AW26" s="395">
        <f t="shared" si="39"/>
        <v>16188326.551328</v>
      </c>
      <c r="AX26" s="396">
        <f t="shared" si="10"/>
        <v>8267.7867984310524</v>
      </c>
      <c r="AY26" s="395">
        <f t="shared" si="40"/>
        <v>52</v>
      </c>
      <c r="AZ26" s="390">
        <v>12367168.000847999</v>
      </c>
      <c r="BA26" s="389">
        <f t="shared" si="11"/>
        <v>-404584.94951999933</v>
      </c>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row>
    <row r="27" spans="1:133" s="416" customFormat="1">
      <c r="A27" s="398">
        <v>20</v>
      </c>
      <c r="B27" s="399" t="s">
        <v>196</v>
      </c>
      <c r="C27" s="399">
        <f>'[4]Table 8   2-1-10 Membership'!U25</f>
        <v>5699</v>
      </c>
      <c r="D27" s="399">
        <v>4431</v>
      </c>
      <c r="E27" s="399">
        <f t="shared" si="1"/>
        <v>975</v>
      </c>
      <c r="F27" s="399">
        <v>1948.5</v>
      </c>
      <c r="G27" s="399">
        <f t="shared" si="2"/>
        <v>117</v>
      </c>
      <c r="H27" s="399">
        <v>845</v>
      </c>
      <c r="I27" s="399">
        <f t="shared" si="12"/>
        <v>1268</v>
      </c>
      <c r="J27" s="399">
        <v>59</v>
      </c>
      <c r="K27" s="400">
        <f t="shared" si="13"/>
        <v>35</v>
      </c>
      <c r="L27" s="400">
        <f t="shared" si="3"/>
        <v>1801</v>
      </c>
      <c r="M27" s="402">
        <f t="shared" si="4"/>
        <v>4.8030000000000003E-2</v>
      </c>
      <c r="N27" s="400">
        <f t="shared" si="5"/>
        <v>274</v>
      </c>
      <c r="O27" s="400">
        <f t="shared" si="14"/>
        <v>2669</v>
      </c>
      <c r="P27" s="381">
        <f t="shared" si="6"/>
        <v>8368</v>
      </c>
      <c r="Q27" s="403">
        <f t="shared" si="15"/>
        <v>3855</v>
      </c>
      <c r="R27" s="403">
        <f t="shared" si="7"/>
        <v>32258640</v>
      </c>
      <c r="S27" s="403">
        <f>'Table 6 (Local Deduct Calc.)'!J28</f>
        <v>6267053.5</v>
      </c>
      <c r="T27" s="403">
        <f t="shared" si="16"/>
        <v>6267053.5</v>
      </c>
      <c r="U27" s="404">
        <f t="shared" si="17"/>
        <v>25991586.5</v>
      </c>
      <c r="V27" s="405">
        <f t="shared" si="41"/>
        <v>0.80569999999999997</v>
      </c>
      <c r="W27" s="406">
        <f t="shared" si="18"/>
        <v>0.1943</v>
      </c>
      <c r="X27" s="407">
        <f t="shared" si="19"/>
        <v>1099.6759957887348</v>
      </c>
      <c r="Y27" s="403">
        <f>'Table 7 Local Revenue'!AQ27</f>
        <v>12789964.5</v>
      </c>
      <c r="Z27" s="403">
        <f t="shared" si="20"/>
        <v>6522911</v>
      </c>
      <c r="AA27" s="408">
        <f t="shared" si="21"/>
        <v>0</v>
      </c>
      <c r="AB27" s="409">
        <f t="shared" si="22"/>
        <v>10967937.600000001</v>
      </c>
      <c r="AC27" s="409">
        <f t="shared" si="23"/>
        <v>6522911</v>
      </c>
      <c r="AD27" s="403">
        <f t="shared" si="24"/>
        <v>2179930.764556</v>
      </c>
      <c r="AE27" s="410">
        <f t="shared" si="25"/>
        <v>4342980.235444</v>
      </c>
      <c r="AF27" s="411">
        <f t="shared" si="26"/>
        <v>0.66579999999999995</v>
      </c>
      <c r="AG27" s="410">
        <f t="shared" si="27"/>
        <v>30334566.735444002</v>
      </c>
      <c r="AH27" s="409">
        <f t="shared" si="28"/>
        <v>5323</v>
      </c>
      <c r="AI27" s="410">
        <f>'Table 4 Level 3'!O25</f>
        <v>657710</v>
      </c>
      <c r="AJ27" s="409">
        <f t="shared" si="8"/>
        <v>115.40796630987893</v>
      </c>
      <c r="AK27" s="410">
        <f t="shared" si="29"/>
        <v>30992276.735444002</v>
      </c>
      <c r="AL27" s="409">
        <f t="shared" si="30"/>
        <v>5438.195601937884</v>
      </c>
      <c r="AM27" s="412">
        <f>'Table 4 Level 3'!R25</f>
        <v>3998293</v>
      </c>
      <c r="AN27" s="413">
        <f t="shared" si="31"/>
        <v>701.57799613967359</v>
      </c>
      <c r="AO27" s="410">
        <f t="shared" si="32"/>
        <v>34332859.735444002</v>
      </c>
      <c r="AP27" s="409">
        <f t="shared" si="33"/>
        <v>6024.3656317676787</v>
      </c>
      <c r="AQ27" s="411">
        <f t="shared" si="34"/>
        <v>0.72858238640162243</v>
      </c>
      <c r="AR27" s="414">
        <f t="shared" si="35"/>
        <v>14</v>
      </c>
      <c r="AS27" s="409">
        <f t="shared" si="36"/>
        <v>12789964.5</v>
      </c>
      <c r="AT27" s="409">
        <f t="shared" si="9"/>
        <v>2244.25</v>
      </c>
      <c r="AU27" s="414">
        <f t="shared" si="37"/>
        <v>56</v>
      </c>
      <c r="AV27" s="411">
        <f t="shared" si="38"/>
        <v>0.27141761359837752</v>
      </c>
      <c r="AW27" s="414">
        <f t="shared" si="39"/>
        <v>47122824.235444002</v>
      </c>
      <c r="AX27" s="415">
        <f t="shared" si="10"/>
        <v>8268.6127803902436</v>
      </c>
      <c r="AY27" s="414">
        <f t="shared" si="40"/>
        <v>51</v>
      </c>
      <c r="AZ27" s="409">
        <v>34442348.003360003</v>
      </c>
      <c r="BA27" s="408">
        <f t="shared" si="11"/>
        <v>-109488.26791600138</v>
      </c>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row>
    <row r="28" spans="1:133" s="397" customFormat="1">
      <c r="A28" s="379">
        <v>21</v>
      </c>
      <c r="B28" s="380" t="s">
        <v>197</v>
      </c>
      <c r="C28" s="380">
        <f>'[4]Table 8   2-1-10 Membership'!U26</f>
        <v>2902</v>
      </c>
      <c r="D28" s="380">
        <v>2399</v>
      </c>
      <c r="E28" s="380">
        <f t="shared" si="1"/>
        <v>528</v>
      </c>
      <c r="F28" s="380">
        <v>820</v>
      </c>
      <c r="G28" s="380">
        <f t="shared" si="2"/>
        <v>49</v>
      </c>
      <c r="H28" s="380">
        <v>371</v>
      </c>
      <c r="I28" s="380">
        <f t="shared" si="12"/>
        <v>557</v>
      </c>
      <c r="J28" s="380">
        <v>28</v>
      </c>
      <c r="K28" s="381">
        <f t="shared" si="13"/>
        <v>17</v>
      </c>
      <c r="L28" s="381">
        <f t="shared" si="3"/>
        <v>4598</v>
      </c>
      <c r="M28" s="384">
        <f t="shared" si="4"/>
        <v>0.12261</v>
      </c>
      <c r="N28" s="381">
        <f t="shared" si="5"/>
        <v>356</v>
      </c>
      <c r="O28" s="381">
        <f t="shared" si="14"/>
        <v>1507</v>
      </c>
      <c r="P28" s="417">
        <f t="shared" si="6"/>
        <v>4409</v>
      </c>
      <c r="Q28" s="385">
        <f t="shared" si="15"/>
        <v>3855</v>
      </c>
      <c r="R28" s="385">
        <f t="shared" si="7"/>
        <v>16996695</v>
      </c>
      <c r="S28" s="385">
        <f>'Table 6 (Local Deduct Calc.)'!J29</f>
        <v>3116427</v>
      </c>
      <c r="T28" s="385">
        <f t="shared" si="16"/>
        <v>3116427</v>
      </c>
      <c r="U28" s="386">
        <f t="shared" si="17"/>
        <v>13880268</v>
      </c>
      <c r="V28" s="387">
        <f t="shared" si="41"/>
        <v>0.81659999999999999</v>
      </c>
      <c r="W28" s="387">
        <f t="shared" si="18"/>
        <v>0.18340000000000001</v>
      </c>
      <c r="X28" s="388">
        <f t="shared" si="19"/>
        <v>1073.8893866299104</v>
      </c>
      <c r="Y28" s="385">
        <f>'Table 7 Local Revenue'!AQ28</f>
        <v>6081817</v>
      </c>
      <c r="Z28" s="385">
        <f t="shared" si="20"/>
        <v>2965390</v>
      </c>
      <c r="AA28" s="389">
        <f t="shared" si="21"/>
        <v>0</v>
      </c>
      <c r="AB28" s="390">
        <f t="shared" si="22"/>
        <v>5778876.3000000007</v>
      </c>
      <c r="AC28" s="390">
        <f t="shared" si="23"/>
        <v>2965390</v>
      </c>
      <c r="AD28" s="385">
        <f t="shared" si="24"/>
        <v>935426.34472000005</v>
      </c>
      <c r="AE28" s="391">
        <f t="shared" si="25"/>
        <v>2029963.6552800001</v>
      </c>
      <c r="AF28" s="392">
        <f t="shared" si="26"/>
        <v>0.68459999999999999</v>
      </c>
      <c r="AG28" s="391">
        <f t="shared" si="27"/>
        <v>15910231.65528</v>
      </c>
      <c r="AH28" s="390">
        <f t="shared" si="28"/>
        <v>5483</v>
      </c>
      <c r="AI28" s="391">
        <f>'Table 4 Level 3'!O26</f>
        <v>396414</v>
      </c>
      <c r="AJ28" s="390">
        <f t="shared" si="8"/>
        <v>136.60027567195039</v>
      </c>
      <c r="AK28" s="391">
        <f t="shared" si="29"/>
        <v>16306645.65528</v>
      </c>
      <c r="AL28" s="390">
        <f t="shared" si="30"/>
        <v>5619.1060149138521</v>
      </c>
      <c r="AM28" s="393">
        <f>'Table 4 Level 3'!R26</f>
        <v>2167650</v>
      </c>
      <c r="AN28" s="394">
        <f t="shared" si="31"/>
        <v>746.95037904893172</v>
      </c>
      <c r="AO28" s="391">
        <f t="shared" si="32"/>
        <v>18077881.655280001</v>
      </c>
      <c r="AP28" s="390">
        <f t="shared" si="33"/>
        <v>6229.4561182908346</v>
      </c>
      <c r="AQ28" s="392">
        <f t="shared" si="34"/>
        <v>0.74826602406024445</v>
      </c>
      <c r="AR28" s="395">
        <f t="shared" si="35"/>
        <v>10</v>
      </c>
      <c r="AS28" s="390">
        <f t="shared" si="36"/>
        <v>6081817</v>
      </c>
      <c r="AT28" s="390">
        <f t="shared" si="9"/>
        <v>2095.73</v>
      </c>
      <c r="AU28" s="395">
        <f t="shared" si="37"/>
        <v>59</v>
      </c>
      <c r="AV28" s="392">
        <f t="shared" si="38"/>
        <v>0.25173397593975555</v>
      </c>
      <c r="AW28" s="395">
        <f t="shared" si="39"/>
        <v>24159698.655280001</v>
      </c>
      <c r="AX28" s="396">
        <f t="shared" si="10"/>
        <v>8325.1890610889041</v>
      </c>
      <c r="AY28" s="395">
        <f t="shared" si="40"/>
        <v>49</v>
      </c>
      <c r="AZ28" s="390">
        <v>18174001.391628001</v>
      </c>
      <c r="BA28" s="389">
        <f t="shared" si="11"/>
        <v>-96119.736347999424</v>
      </c>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row>
    <row r="29" spans="1:133" s="397" customFormat="1">
      <c r="A29" s="379">
        <v>22</v>
      </c>
      <c r="B29" s="380" t="s">
        <v>198</v>
      </c>
      <c r="C29" s="380">
        <f>'[4]Table 8   2-1-10 Membership'!U27</f>
        <v>3306</v>
      </c>
      <c r="D29" s="380">
        <v>2149</v>
      </c>
      <c r="E29" s="380">
        <f t="shared" si="1"/>
        <v>473</v>
      </c>
      <c r="F29" s="380">
        <v>1163.5</v>
      </c>
      <c r="G29" s="380">
        <f t="shared" si="2"/>
        <v>70</v>
      </c>
      <c r="H29" s="380">
        <v>515</v>
      </c>
      <c r="I29" s="380">
        <f t="shared" si="12"/>
        <v>773</v>
      </c>
      <c r="J29" s="380">
        <v>22</v>
      </c>
      <c r="K29" s="381">
        <f t="shared" si="13"/>
        <v>13</v>
      </c>
      <c r="L29" s="381">
        <f t="shared" si="3"/>
        <v>4194</v>
      </c>
      <c r="M29" s="384">
        <f t="shared" si="4"/>
        <v>0.11183999999999999</v>
      </c>
      <c r="N29" s="381">
        <f t="shared" si="5"/>
        <v>370</v>
      </c>
      <c r="O29" s="381">
        <f t="shared" si="14"/>
        <v>1699</v>
      </c>
      <c r="P29" s="381">
        <f t="shared" si="6"/>
        <v>5005</v>
      </c>
      <c r="Q29" s="385">
        <f t="shared" si="15"/>
        <v>3855</v>
      </c>
      <c r="R29" s="385">
        <f t="shared" si="7"/>
        <v>19294275</v>
      </c>
      <c r="S29" s="385">
        <f>'Table 6 (Local Deduct Calc.)'!J30</f>
        <v>1890273</v>
      </c>
      <c r="T29" s="385">
        <f t="shared" si="16"/>
        <v>1890273</v>
      </c>
      <c r="U29" s="386">
        <f t="shared" si="17"/>
        <v>17404002</v>
      </c>
      <c r="V29" s="387">
        <f t="shared" si="41"/>
        <v>0.90200000000000002</v>
      </c>
      <c r="W29" s="387">
        <f t="shared" si="18"/>
        <v>9.8000000000000004E-2</v>
      </c>
      <c r="X29" s="388">
        <f t="shared" si="19"/>
        <v>571.77041742286747</v>
      </c>
      <c r="Y29" s="385">
        <f>'Table 7 Local Revenue'!AQ29</f>
        <v>5012748</v>
      </c>
      <c r="Z29" s="385">
        <f t="shared" si="20"/>
        <v>3122475</v>
      </c>
      <c r="AA29" s="389">
        <f t="shared" si="21"/>
        <v>0</v>
      </c>
      <c r="AB29" s="390">
        <f t="shared" si="22"/>
        <v>6560053.5000000009</v>
      </c>
      <c r="AC29" s="390">
        <f t="shared" si="23"/>
        <v>3122475</v>
      </c>
      <c r="AD29" s="385">
        <f t="shared" si="24"/>
        <v>526324.38600000006</v>
      </c>
      <c r="AE29" s="391">
        <f t="shared" si="25"/>
        <v>2596150.6140000001</v>
      </c>
      <c r="AF29" s="392">
        <f t="shared" si="26"/>
        <v>0.83140000000000003</v>
      </c>
      <c r="AG29" s="391">
        <f t="shared" si="27"/>
        <v>20000152.614</v>
      </c>
      <c r="AH29" s="390">
        <f t="shared" si="28"/>
        <v>6050</v>
      </c>
      <c r="AI29" s="391">
        <f>'Table 4 Level 3'!O27</f>
        <v>451601</v>
      </c>
      <c r="AJ29" s="390">
        <f t="shared" si="8"/>
        <v>136.60042347247429</v>
      </c>
      <c r="AK29" s="391">
        <f t="shared" si="29"/>
        <v>20451753.614</v>
      </c>
      <c r="AL29" s="390">
        <f t="shared" si="30"/>
        <v>6186.2533617664849</v>
      </c>
      <c r="AM29" s="393">
        <f>'Table 4 Level 3'!R27</f>
        <v>2092567</v>
      </c>
      <c r="AN29" s="394">
        <f t="shared" si="31"/>
        <v>632.96037507562005</v>
      </c>
      <c r="AO29" s="391">
        <f t="shared" si="32"/>
        <v>22092719.614</v>
      </c>
      <c r="AP29" s="390">
        <f t="shared" si="33"/>
        <v>6682.6133133696312</v>
      </c>
      <c r="AQ29" s="392">
        <f t="shared" si="34"/>
        <v>0.81506506099120346</v>
      </c>
      <c r="AR29" s="395">
        <f t="shared" si="35"/>
        <v>2</v>
      </c>
      <c r="AS29" s="390">
        <f t="shared" si="36"/>
        <v>5012748</v>
      </c>
      <c r="AT29" s="390">
        <f t="shared" si="9"/>
        <v>1516.26</v>
      </c>
      <c r="AU29" s="395">
        <f t="shared" si="37"/>
        <v>67</v>
      </c>
      <c r="AV29" s="392">
        <f t="shared" si="38"/>
        <v>0.18493493900879654</v>
      </c>
      <c r="AW29" s="395">
        <f t="shared" si="39"/>
        <v>27105467.614</v>
      </c>
      <c r="AX29" s="396">
        <f t="shared" si="10"/>
        <v>8198.8710266182698</v>
      </c>
      <c r="AY29" s="395">
        <f t="shared" si="40"/>
        <v>56</v>
      </c>
      <c r="AZ29" s="390">
        <v>21198569.990912002</v>
      </c>
      <c r="BA29" s="389">
        <f t="shared" si="11"/>
        <v>894149.62308799848</v>
      </c>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row>
    <row r="30" spans="1:133" s="397" customFormat="1">
      <c r="A30" s="379">
        <v>23</v>
      </c>
      <c r="B30" s="380" t="s">
        <v>199</v>
      </c>
      <c r="C30" s="380">
        <f>'[4]Table 8   2-1-10 Membership'!U28</f>
        <v>13151</v>
      </c>
      <c r="D30" s="380">
        <v>9294</v>
      </c>
      <c r="E30" s="380">
        <f t="shared" si="1"/>
        <v>2045</v>
      </c>
      <c r="F30" s="380">
        <v>5772</v>
      </c>
      <c r="G30" s="380">
        <f t="shared" si="2"/>
        <v>346</v>
      </c>
      <c r="H30" s="380">
        <v>1634</v>
      </c>
      <c r="I30" s="380">
        <f t="shared" si="12"/>
        <v>2451</v>
      </c>
      <c r="J30" s="380">
        <v>439</v>
      </c>
      <c r="K30" s="381">
        <f t="shared" si="13"/>
        <v>263</v>
      </c>
      <c r="L30" s="381">
        <f t="shared" si="3"/>
        <v>0</v>
      </c>
      <c r="M30" s="384">
        <f t="shared" si="4"/>
        <v>0</v>
      </c>
      <c r="N30" s="381">
        <f t="shared" si="5"/>
        <v>0</v>
      </c>
      <c r="O30" s="381">
        <f t="shared" si="14"/>
        <v>5105</v>
      </c>
      <c r="P30" s="381">
        <f t="shared" si="6"/>
        <v>18256</v>
      </c>
      <c r="Q30" s="385">
        <f t="shared" si="15"/>
        <v>3855</v>
      </c>
      <c r="R30" s="385">
        <f t="shared" si="7"/>
        <v>70376880</v>
      </c>
      <c r="S30" s="385">
        <f>'Table 6 (Local Deduct Calc.)'!J31</f>
        <v>19645246</v>
      </c>
      <c r="T30" s="385">
        <f t="shared" si="16"/>
        <v>19645246</v>
      </c>
      <c r="U30" s="386">
        <f t="shared" si="17"/>
        <v>50731634</v>
      </c>
      <c r="V30" s="387">
        <f t="shared" si="41"/>
        <v>0.72089999999999999</v>
      </c>
      <c r="W30" s="387">
        <f t="shared" si="18"/>
        <v>0.27910000000000001</v>
      </c>
      <c r="X30" s="388">
        <f t="shared" si="19"/>
        <v>1493.8214584442248</v>
      </c>
      <c r="Y30" s="385">
        <f>'Table 7 Local Revenue'!AQ30</f>
        <v>40420758</v>
      </c>
      <c r="Z30" s="385">
        <f t="shared" si="20"/>
        <v>20775512</v>
      </c>
      <c r="AA30" s="389">
        <f t="shared" si="21"/>
        <v>0</v>
      </c>
      <c r="AB30" s="390">
        <f t="shared" si="22"/>
        <v>23928139.200000003</v>
      </c>
      <c r="AC30" s="390">
        <f t="shared" si="23"/>
        <v>20775512</v>
      </c>
      <c r="AD30" s="385">
        <f t="shared" si="24"/>
        <v>9973326.0866240002</v>
      </c>
      <c r="AE30" s="391">
        <f t="shared" si="25"/>
        <v>10802185.913376</v>
      </c>
      <c r="AF30" s="392">
        <f t="shared" si="26"/>
        <v>0.51990000000000003</v>
      </c>
      <c r="AG30" s="391">
        <f t="shared" si="27"/>
        <v>61533819.913376004</v>
      </c>
      <c r="AH30" s="390">
        <f t="shared" si="28"/>
        <v>4679</v>
      </c>
      <c r="AI30" s="391">
        <f>'Table 4 Level 3'!O28</f>
        <v>1976432</v>
      </c>
      <c r="AJ30" s="390">
        <f t="shared" si="8"/>
        <v>150.2875826933313</v>
      </c>
      <c r="AK30" s="391">
        <f t="shared" si="29"/>
        <v>63510251.913376004</v>
      </c>
      <c r="AL30" s="390">
        <f t="shared" si="30"/>
        <v>4829.3097037013158</v>
      </c>
      <c r="AM30" s="393">
        <f>'Table 4 Level 3'!R28</f>
        <v>11031948</v>
      </c>
      <c r="AN30" s="394">
        <f t="shared" si="31"/>
        <v>838.8676146300661</v>
      </c>
      <c r="AO30" s="391">
        <f t="shared" si="32"/>
        <v>72565767.913376004</v>
      </c>
      <c r="AP30" s="390">
        <f t="shared" si="33"/>
        <v>5517.8897356380503</v>
      </c>
      <c r="AQ30" s="392">
        <f t="shared" si="34"/>
        <v>0.64225151916796164</v>
      </c>
      <c r="AR30" s="395">
        <f t="shared" si="35"/>
        <v>38</v>
      </c>
      <c r="AS30" s="390">
        <f t="shared" si="36"/>
        <v>40420758</v>
      </c>
      <c r="AT30" s="390">
        <f t="shared" si="9"/>
        <v>3073.59</v>
      </c>
      <c r="AU30" s="395">
        <f t="shared" si="37"/>
        <v>38</v>
      </c>
      <c r="AV30" s="392">
        <f t="shared" si="38"/>
        <v>0.35774848083203836</v>
      </c>
      <c r="AW30" s="395">
        <f t="shared" si="39"/>
        <v>112986525.913376</v>
      </c>
      <c r="AX30" s="396">
        <f t="shared" si="10"/>
        <v>8591.4779038381876</v>
      </c>
      <c r="AY30" s="395">
        <f t="shared" si="40"/>
        <v>40</v>
      </c>
      <c r="AZ30" s="390">
        <v>72568896.582880005</v>
      </c>
      <c r="BA30" s="389">
        <f t="shared" si="11"/>
        <v>-3128.6695040017366</v>
      </c>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row>
    <row r="31" spans="1:133" s="397" customFormat="1">
      <c r="A31" s="379">
        <v>24</v>
      </c>
      <c r="B31" s="380" t="s">
        <v>200</v>
      </c>
      <c r="C31" s="380">
        <f>'[4]Table 8   2-1-10 Membership'!U29</f>
        <v>4369</v>
      </c>
      <c r="D31" s="380">
        <v>3640</v>
      </c>
      <c r="E31" s="380">
        <f t="shared" si="1"/>
        <v>801</v>
      </c>
      <c r="F31" s="380">
        <v>1301.5</v>
      </c>
      <c r="G31" s="380">
        <f t="shared" si="2"/>
        <v>78</v>
      </c>
      <c r="H31" s="380">
        <v>478</v>
      </c>
      <c r="I31" s="380">
        <f t="shared" si="12"/>
        <v>717</v>
      </c>
      <c r="J31" s="380">
        <v>104</v>
      </c>
      <c r="K31" s="381">
        <f t="shared" si="13"/>
        <v>62</v>
      </c>
      <c r="L31" s="381">
        <f t="shared" si="3"/>
        <v>3131</v>
      </c>
      <c r="M31" s="384">
        <f t="shared" si="4"/>
        <v>8.3489999999999995E-2</v>
      </c>
      <c r="N31" s="381">
        <f t="shared" si="5"/>
        <v>365</v>
      </c>
      <c r="O31" s="381">
        <f t="shared" si="14"/>
        <v>2023</v>
      </c>
      <c r="P31" s="381">
        <f t="shared" si="6"/>
        <v>6392</v>
      </c>
      <c r="Q31" s="385">
        <f t="shared" si="15"/>
        <v>3855</v>
      </c>
      <c r="R31" s="385">
        <f t="shared" si="7"/>
        <v>24641160</v>
      </c>
      <c r="S31" s="385">
        <f>'Table 6 (Local Deduct Calc.)'!J32</f>
        <v>16217671</v>
      </c>
      <c r="T31" s="385">
        <f t="shared" si="16"/>
        <v>16217671</v>
      </c>
      <c r="U31" s="386">
        <f t="shared" si="17"/>
        <v>8423489</v>
      </c>
      <c r="V31" s="387">
        <f t="shared" si="41"/>
        <v>0.34179999999999999</v>
      </c>
      <c r="W31" s="387">
        <f t="shared" si="18"/>
        <v>0.65820000000000001</v>
      </c>
      <c r="X31" s="388">
        <f t="shared" si="19"/>
        <v>3711.9869535362782</v>
      </c>
      <c r="Y31" s="385">
        <f>'Table 7 Local Revenue'!AQ31</f>
        <v>43254243</v>
      </c>
      <c r="Z31" s="385">
        <f t="shared" si="20"/>
        <v>27036572</v>
      </c>
      <c r="AA31" s="389">
        <f t="shared" si="21"/>
        <v>0</v>
      </c>
      <c r="AB31" s="390">
        <f t="shared" si="22"/>
        <v>8377994.4000000004</v>
      </c>
      <c r="AC31" s="390">
        <f t="shared" si="23"/>
        <v>8377994.4000000004</v>
      </c>
      <c r="AD31" s="385">
        <f t="shared" si="24"/>
        <v>9484760.9722176008</v>
      </c>
      <c r="AE31" s="391">
        <f t="shared" si="25"/>
        <v>0</v>
      </c>
      <c r="AF31" s="392">
        <f t="shared" si="26"/>
        <v>0</v>
      </c>
      <c r="AG31" s="391">
        <f t="shared" si="27"/>
        <v>8423489</v>
      </c>
      <c r="AH31" s="390">
        <f t="shared" si="28"/>
        <v>1928</v>
      </c>
      <c r="AI31" s="391">
        <f>'Table 4 Level 3'!O29</f>
        <v>2475236</v>
      </c>
      <c r="AJ31" s="390">
        <f t="shared" si="8"/>
        <v>566.54520485236901</v>
      </c>
      <c r="AK31" s="391">
        <f t="shared" si="29"/>
        <v>10898725</v>
      </c>
      <c r="AL31" s="390">
        <f t="shared" si="30"/>
        <v>2494.5582513160907</v>
      </c>
      <c r="AM31" s="393">
        <f>'Table 4 Level 3'!R29</f>
        <v>6207454</v>
      </c>
      <c r="AN31" s="394">
        <f t="shared" si="31"/>
        <v>1420.7951476310368</v>
      </c>
      <c r="AO31" s="391">
        <f t="shared" si="32"/>
        <v>14630943</v>
      </c>
      <c r="AP31" s="390">
        <f t="shared" si="33"/>
        <v>3348.8081940947586</v>
      </c>
      <c r="AQ31" s="392">
        <f t="shared" si="34"/>
        <v>0.37298516483520405</v>
      </c>
      <c r="AR31" s="395">
        <f t="shared" si="35"/>
        <v>64</v>
      </c>
      <c r="AS31" s="390">
        <f t="shared" si="36"/>
        <v>24595665.399999999</v>
      </c>
      <c r="AT31" s="390">
        <f t="shared" si="9"/>
        <v>5629.59</v>
      </c>
      <c r="AU31" s="395">
        <f t="shared" si="37"/>
        <v>6</v>
      </c>
      <c r="AV31" s="392">
        <f t="shared" si="38"/>
        <v>0.62701483516479595</v>
      </c>
      <c r="AW31" s="395">
        <f t="shared" si="39"/>
        <v>39226608.399999999</v>
      </c>
      <c r="AX31" s="396">
        <f t="shared" si="10"/>
        <v>8978.3951476310358</v>
      </c>
      <c r="AY31" s="395">
        <f t="shared" si="40"/>
        <v>24</v>
      </c>
      <c r="AZ31" s="390">
        <v>14118751</v>
      </c>
      <c r="BA31" s="389">
        <f t="shared" si="11"/>
        <v>512192</v>
      </c>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row>
    <row r="32" spans="1:133" s="416" customFormat="1">
      <c r="A32" s="398">
        <v>25</v>
      </c>
      <c r="B32" s="399" t="s">
        <v>201</v>
      </c>
      <c r="C32" s="399">
        <f>'[4]Table 8   2-1-10 Membership'!U30</f>
        <v>2191</v>
      </c>
      <c r="D32" s="399">
        <v>1377</v>
      </c>
      <c r="E32" s="399">
        <f t="shared" si="1"/>
        <v>303</v>
      </c>
      <c r="F32" s="399">
        <v>1206</v>
      </c>
      <c r="G32" s="399">
        <f t="shared" si="2"/>
        <v>72</v>
      </c>
      <c r="H32" s="399">
        <v>196</v>
      </c>
      <c r="I32" s="399">
        <f t="shared" si="12"/>
        <v>294</v>
      </c>
      <c r="J32" s="399">
        <v>83</v>
      </c>
      <c r="K32" s="400">
        <f t="shared" si="13"/>
        <v>50</v>
      </c>
      <c r="L32" s="400">
        <f t="shared" si="3"/>
        <v>5309</v>
      </c>
      <c r="M32" s="402">
        <f t="shared" si="4"/>
        <v>0.14157</v>
      </c>
      <c r="N32" s="400">
        <f t="shared" si="5"/>
        <v>310</v>
      </c>
      <c r="O32" s="400">
        <f t="shared" si="14"/>
        <v>1029</v>
      </c>
      <c r="P32" s="381">
        <f t="shared" si="6"/>
        <v>3220</v>
      </c>
      <c r="Q32" s="403">
        <f t="shared" si="15"/>
        <v>3855</v>
      </c>
      <c r="R32" s="403">
        <f t="shared" si="7"/>
        <v>12413100</v>
      </c>
      <c r="S32" s="403">
        <f>'Table 6 (Local Deduct Calc.)'!J33</f>
        <v>5614436.5</v>
      </c>
      <c r="T32" s="403">
        <f t="shared" si="16"/>
        <v>5614436.5</v>
      </c>
      <c r="U32" s="404">
        <f t="shared" si="17"/>
        <v>6798663.5</v>
      </c>
      <c r="V32" s="405">
        <f t="shared" si="41"/>
        <v>0.54769999999999996</v>
      </c>
      <c r="W32" s="406">
        <f t="shared" si="18"/>
        <v>0.45229999999999998</v>
      </c>
      <c r="X32" s="407">
        <f t="shared" si="19"/>
        <v>2562.499543587403</v>
      </c>
      <c r="Y32" s="403">
        <f>'Table 7 Local Revenue'!AQ32</f>
        <v>14414700.5</v>
      </c>
      <c r="Z32" s="403">
        <f t="shared" si="20"/>
        <v>8800264</v>
      </c>
      <c r="AA32" s="408">
        <f t="shared" si="21"/>
        <v>0</v>
      </c>
      <c r="AB32" s="409">
        <f t="shared" si="22"/>
        <v>4220454</v>
      </c>
      <c r="AC32" s="409">
        <f t="shared" si="23"/>
        <v>4220454</v>
      </c>
      <c r="AD32" s="403">
        <f t="shared" si="24"/>
        <v>3283327.5120239998</v>
      </c>
      <c r="AE32" s="410">
        <f t="shared" si="25"/>
        <v>937126.48797600018</v>
      </c>
      <c r="AF32" s="411">
        <f t="shared" si="26"/>
        <v>0.222</v>
      </c>
      <c r="AG32" s="410">
        <f t="shared" si="27"/>
        <v>7735789.9879759997</v>
      </c>
      <c r="AH32" s="409">
        <f t="shared" si="28"/>
        <v>3531</v>
      </c>
      <c r="AI32" s="410">
        <f>'Table 4 Level 3'!O30</f>
        <v>299291</v>
      </c>
      <c r="AJ32" s="409">
        <f t="shared" si="8"/>
        <v>136.60018256503881</v>
      </c>
      <c r="AK32" s="410">
        <f t="shared" si="29"/>
        <v>8035080.9879759997</v>
      </c>
      <c r="AL32" s="409">
        <f t="shared" si="30"/>
        <v>3667.3121807284342</v>
      </c>
      <c r="AM32" s="412">
        <f>'Table 4 Level 3'!R30</f>
        <v>1731613</v>
      </c>
      <c r="AN32" s="413">
        <f t="shared" si="31"/>
        <v>790.32998630762211</v>
      </c>
      <c r="AO32" s="410">
        <f t="shared" si="32"/>
        <v>9467402.9879759997</v>
      </c>
      <c r="AP32" s="409">
        <f t="shared" si="33"/>
        <v>4321.0419844710177</v>
      </c>
      <c r="AQ32" s="411">
        <f t="shared" si="34"/>
        <v>0.49048072934304621</v>
      </c>
      <c r="AR32" s="414">
        <f t="shared" si="35"/>
        <v>56</v>
      </c>
      <c r="AS32" s="409">
        <f t="shared" si="36"/>
        <v>9834890.5</v>
      </c>
      <c r="AT32" s="409">
        <f t="shared" si="9"/>
        <v>4488.7700000000004</v>
      </c>
      <c r="AU32" s="414">
        <f t="shared" si="37"/>
        <v>14</v>
      </c>
      <c r="AV32" s="411">
        <f t="shared" si="38"/>
        <v>0.50951927065695379</v>
      </c>
      <c r="AW32" s="414">
        <f t="shared" si="39"/>
        <v>19302293.487976</v>
      </c>
      <c r="AX32" s="415">
        <f t="shared" si="10"/>
        <v>8809.8098986654495</v>
      </c>
      <c r="AY32" s="414">
        <f t="shared" si="40"/>
        <v>33</v>
      </c>
      <c r="AZ32" s="409">
        <v>10748221.940463999</v>
      </c>
      <c r="BA32" s="408">
        <f t="shared" si="11"/>
        <v>-1280818.9524879996</v>
      </c>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row>
    <row r="33" spans="1:133" s="397" customFormat="1">
      <c r="A33" s="379">
        <v>26</v>
      </c>
      <c r="B33" s="380" t="s">
        <v>202</v>
      </c>
      <c r="C33" s="380">
        <f>'[4]Table 8   2-1-10 Membership'!U31+12</f>
        <v>43040</v>
      </c>
      <c r="D33" s="380">
        <f>33493+10</f>
        <v>33503</v>
      </c>
      <c r="E33" s="380">
        <f t="shared" si="1"/>
        <v>7371</v>
      </c>
      <c r="F33" s="380">
        <v>12954</v>
      </c>
      <c r="G33" s="380">
        <f t="shared" si="2"/>
        <v>777</v>
      </c>
      <c r="H33" s="380">
        <v>5606</v>
      </c>
      <c r="I33" s="380">
        <f t="shared" si="12"/>
        <v>8409</v>
      </c>
      <c r="J33" s="380">
        <f>3124+2</f>
        <v>3126</v>
      </c>
      <c r="K33" s="381">
        <f t="shared" si="13"/>
        <v>1876</v>
      </c>
      <c r="L33" s="381">
        <f t="shared" si="3"/>
        <v>0</v>
      </c>
      <c r="M33" s="384">
        <f t="shared" si="4"/>
        <v>0</v>
      </c>
      <c r="N33" s="381">
        <f t="shared" si="5"/>
        <v>0</v>
      </c>
      <c r="O33" s="381">
        <f t="shared" si="14"/>
        <v>18433</v>
      </c>
      <c r="P33" s="417">
        <f t="shared" si="6"/>
        <v>61473</v>
      </c>
      <c r="Q33" s="385">
        <f t="shared" si="15"/>
        <v>3855</v>
      </c>
      <c r="R33" s="385">
        <f t="shared" si="7"/>
        <v>236978415</v>
      </c>
      <c r="S33" s="385">
        <f>'Table 6 (Local Deduct Calc.)'!J34</f>
        <v>129914187</v>
      </c>
      <c r="T33" s="385">
        <f t="shared" si="16"/>
        <v>129914187</v>
      </c>
      <c r="U33" s="386">
        <f t="shared" si="17"/>
        <v>107064228</v>
      </c>
      <c r="V33" s="387">
        <f t="shared" si="41"/>
        <v>0.45179999999999998</v>
      </c>
      <c r="W33" s="387">
        <f t="shared" si="18"/>
        <v>0.54820000000000002</v>
      </c>
      <c r="X33" s="388">
        <f t="shared" si="19"/>
        <v>3018.4523001858738</v>
      </c>
      <c r="Y33" s="385">
        <f>'Table 7 Local Revenue'!AQ33</f>
        <v>236391839</v>
      </c>
      <c r="Z33" s="385">
        <f t="shared" si="20"/>
        <v>106477652</v>
      </c>
      <c r="AA33" s="389">
        <f t="shared" si="21"/>
        <v>0</v>
      </c>
      <c r="AB33" s="390">
        <f t="shared" si="22"/>
        <v>80572661.100000009</v>
      </c>
      <c r="AC33" s="390">
        <f t="shared" si="23"/>
        <v>80572661.100000009</v>
      </c>
      <c r="AD33" s="385">
        <f t="shared" si="24"/>
        <v>75972284.44183442</v>
      </c>
      <c r="AE33" s="391">
        <f t="shared" si="25"/>
        <v>4600376.658165589</v>
      </c>
      <c r="AF33" s="392">
        <f t="shared" si="26"/>
        <v>5.7099999999999998E-2</v>
      </c>
      <c r="AG33" s="391">
        <f t="shared" si="27"/>
        <v>111664604.65816559</v>
      </c>
      <c r="AH33" s="390">
        <f t="shared" si="28"/>
        <v>2594</v>
      </c>
      <c r="AI33" s="391">
        <f>'Table 4 Level 3'!O31</f>
        <v>23926369</v>
      </c>
      <c r="AJ33" s="390">
        <f t="shared" si="8"/>
        <v>555.91006040892194</v>
      </c>
      <c r="AK33" s="391">
        <f t="shared" si="29"/>
        <v>135590973.65816557</v>
      </c>
      <c r="AL33" s="390">
        <f t="shared" si="30"/>
        <v>3150.3479009796833</v>
      </c>
      <c r="AM33" s="393">
        <f>'Table 4 Level 3'!R31</f>
        <v>59943532</v>
      </c>
      <c r="AN33" s="394">
        <f t="shared" si="31"/>
        <v>1392.7400557620817</v>
      </c>
      <c r="AO33" s="391">
        <f t="shared" si="32"/>
        <v>171608136.65816557</v>
      </c>
      <c r="AP33" s="390">
        <f t="shared" si="33"/>
        <v>3987.1778963328434</v>
      </c>
      <c r="AQ33" s="392">
        <f t="shared" si="34"/>
        <v>0.44912428454610381</v>
      </c>
      <c r="AR33" s="395">
        <f t="shared" si="35"/>
        <v>61</v>
      </c>
      <c r="AS33" s="390">
        <f t="shared" si="36"/>
        <v>210486848.09999999</v>
      </c>
      <c r="AT33" s="390">
        <f t="shared" si="9"/>
        <v>4890.49</v>
      </c>
      <c r="AU33" s="395">
        <f t="shared" si="37"/>
        <v>11</v>
      </c>
      <c r="AV33" s="392">
        <f t="shared" si="38"/>
        <v>0.55087571545389613</v>
      </c>
      <c r="AW33" s="395">
        <f t="shared" si="39"/>
        <v>382094984.7581656</v>
      </c>
      <c r="AX33" s="396">
        <f t="shared" si="10"/>
        <v>8877.6715789536611</v>
      </c>
      <c r="AY33" s="395">
        <f t="shared" si="40"/>
        <v>29</v>
      </c>
      <c r="AZ33" s="390">
        <v>168331650.95680839</v>
      </c>
      <c r="BA33" s="389">
        <f t="shared" si="11"/>
        <v>3276485.7013571858</v>
      </c>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row>
    <row r="34" spans="1:133" s="397" customFormat="1">
      <c r="A34" s="379">
        <v>27</v>
      </c>
      <c r="B34" s="380" t="s">
        <v>203</v>
      </c>
      <c r="C34" s="380">
        <f>'[4]Table 8   2-1-10 Membership'!U32</f>
        <v>5599</v>
      </c>
      <c r="D34" s="380">
        <v>3297</v>
      </c>
      <c r="E34" s="380">
        <f t="shared" si="1"/>
        <v>725</v>
      </c>
      <c r="F34" s="380">
        <v>2217</v>
      </c>
      <c r="G34" s="380">
        <f t="shared" si="2"/>
        <v>133</v>
      </c>
      <c r="H34" s="380">
        <v>851</v>
      </c>
      <c r="I34" s="380">
        <f t="shared" si="12"/>
        <v>1277</v>
      </c>
      <c r="J34" s="380">
        <v>132</v>
      </c>
      <c r="K34" s="381">
        <f t="shared" si="13"/>
        <v>79</v>
      </c>
      <c r="L34" s="381">
        <f t="shared" si="3"/>
        <v>1901</v>
      </c>
      <c r="M34" s="384">
        <f t="shared" si="4"/>
        <v>5.0689999999999999E-2</v>
      </c>
      <c r="N34" s="381">
        <f t="shared" si="5"/>
        <v>284</v>
      </c>
      <c r="O34" s="381">
        <f t="shared" si="14"/>
        <v>2498</v>
      </c>
      <c r="P34" s="381">
        <f t="shared" si="6"/>
        <v>8097</v>
      </c>
      <c r="Q34" s="385">
        <f t="shared" si="15"/>
        <v>3855</v>
      </c>
      <c r="R34" s="385">
        <f t="shared" si="7"/>
        <v>31213935</v>
      </c>
      <c r="S34" s="385">
        <f>'Table 6 (Local Deduct Calc.)'!J35</f>
        <v>6400080</v>
      </c>
      <c r="T34" s="385">
        <f t="shared" si="16"/>
        <v>6400080</v>
      </c>
      <c r="U34" s="386">
        <f t="shared" si="17"/>
        <v>24813855</v>
      </c>
      <c r="V34" s="387">
        <f t="shared" si="41"/>
        <v>0.79500000000000004</v>
      </c>
      <c r="W34" s="387">
        <f t="shared" si="18"/>
        <v>0.20499999999999999</v>
      </c>
      <c r="X34" s="388">
        <f t="shared" si="19"/>
        <v>1143.0755492052151</v>
      </c>
      <c r="Y34" s="385">
        <f>'Table 7 Local Revenue'!AQ34</f>
        <v>16316074</v>
      </c>
      <c r="Z34" s="385">
        <f t="shared" si="20"/>
        <v>9915994</v>
      </c>
      <c r="AA34" s="389">
        <f t="shared" si="21"/>
        <v>0</v>
      </c>
      <c r="AB34" s="390">
        <f t="shared" si="22"/>
        <v>10612737.9</v>
      </c>
      <c r="AC34" s="390">
        <f t="shared" si="23"/>
        <v>9915994</v>
      </c>
      <c r="AD34" s="385">
        <f t="shared" si="24"/>
        <v>3496379.4843999995</v>
      </c>
      <c r="AE34" s="391">
        <f t="shared" si="25"/>
        <v>6419614.5156000005</v>
      </c>
      <c r="AF34" s="392">
        <f t="shared" si="26"/>
        <v>0.64739999999999998</v>
      </c>
      <c r="AG34" s="391">
        <f t="shared" si="27"/>
        <v>31233469.5156</v>
      </c>
      <c r="AH34" s="390">
        <f t="shared" si="28"/>
        <v>5578</v>
      </c>
      <c r="AI34" s="391">
        <f>'Table 4 Level 3'!O32</f>
        <v>764826</v>
      </c>
      <c r="AJ34" s="390">
        <f t="shared" si="8"/>
        <v>136.60046436863726</v>
      </c>
      <c r="AK34" s="391">
        <f t="shared" si="29"/>
        <v>31998295.5156</v>
      </c>
      <c r="AL34" s="390">
        <f t="shared" si="30"/>
        <v>5715.0018781210929</v>
      </c>
      <c r="AM34" s="393">
        <f>'Table 4 Level 3'!R32</f>
        <v>4645269</v>
      </c>
      <c r="AN34" s="394">
        <f t="shared" si="31"/>
        <v>829.66047508483655</v>
      </c>
      <c r="AO34" s="391">
        <f t="shared" si="32"/>
        <v>35878738.515599996</v>
      </c>
      <c r="AP34" s="390">
        <f t="shared" si="33"/>
        <v>6408.0618888372919</v>
      </c>
      <c r="AQ34" s="392">
        <f t="shared" si="34"/>
        <v>0.68740046733334947</v>
      </c>
      <c r="AR34" s="395">
        <f t="shared" si="35"/>
        <v>25</v>
      </c>
      <c r="AS34" s="390">
        <f t="shared" si="36"/>
        <v>16316074</v>
      </c>
      <c r="AT34" s="390">
        <f t="shared" si="9"/>
        <v>2914.11</v>
      </c>
      <c r="AU34" s="395">
        <f t="shared" si="37"/>
        <v>41</v>
      </c>
      <c r="AV34" s="392">
        <f t="shared" si="38"/>
        <v>0.31259953266665053</v>
      </c>
      <c r="AW34" s="395">
        <f t="shared" si="39"/>
        <v>52194812.515599996</v>
      </c>
      <c r="AX34" s="396">
        <f t="shared" si="10"/>
        <v>9322.1669075906411</v>
      </c>
      <c r="AY34" s="395">
        <f t="shared" si="40"/>
        <v>15</v>
      </c>
      <c r="AZ34" s="390">
        <v>36014874.909375995</v>
      </c>
      <c r="BA34" s="389">
        <f t="shared" si="11"/>
        <v>-136136.39377599955</v>
      </c>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row>
    <row r="35" spans="1:133" s="397" customFormat="1">
      <c r="A35" s="379">
        <v>28</v>
      </c>
      <c r="B35" s="380" t="s">
        <v>204</v>
      </c>
      <c r="C35" s="380">
        <f>'[4]Table 8   2-1-10 Membership'!U33</f>
        <v>29511</v>
      </c>
      <c r="D35" s="380">
        <v>17863</v>
      </c>
      <c r="E35" s="380">
        <f t="shared" si="1"/>
        <v>3930</v>
      </c>
      <c r="F35" s="380">
        <v>8797</v>
      </c>
      <c r="G35" s="380">
        <f t="shared" si="2"/>
        <v>528</v>
      </c>
      <c r="H35" s="380">
        <v>2970</v>
      </c>
      <c r="I35" s="380">
        <f t="shared" si="12"/>
        <v>4455</v>
      </c>
      <c r="J35" s="380">
        <v>1334</v>
      </c>
      <c r="K35" s="381">
        <f t="shared" si="13"/>
        <v>800</v>
      </c>
      <c r="L35" s="381">
        <f t="shared" si="3"/>
        <v>0</v>
      </c>
      <c r="M35" s="384">
        <f t="shared" si="4"/>
        <v>0</v>
      </c>
      <c r="N35" s="381">
        <f t="shared" si="5"/>
        <v>0</v>
      </c>
      <c r="O35" s="381">
        <f t="shared" si="14"/>
        <v>9713</v>
      </c>
      <c r="P35" s="381">
        <f t="shared" si="6"/>
        <v>39224</v>
      </c>
      <c r="Q35" s="385">
        <f t="shared" si="15"/>
        <v>3855</v>
      </c>
      <c r="R35" s="385">
        <f t="shared" si="7"/>
        <v>151208520</v>
      </c>
      <c r="S35" s="385">
        <f>'Table 6 (Local Deduct Calc.)'!J36</f>
        <v>69579287</v>
      </c>
      <c r="T35" s="385">
        <f t="shared" si="16"/>
        <v>69579287</v>
      </c>
      <c r="U35" s="386">
        <f t="shared" si="17"/>
        <v>81629233</v>
      </c>
      <c r="V35" s="387">
        <f t="shared" si="41"/>
        <v>0.53979999999999995</v>
      </c>
      <c r="W35" s="387">
        <f t="shared" si="18"/>
        <v>0.4602</v>
      </c>
      <c r="X35" s="388">
        <f t="shared" si="19"/>
        <v>2357.7407407407409</v>
      </c>
      <c r="Y35" s="385">
        <f>'Table 7 Local Revenue'!AQ35</f>
        <v>143884045</v>
      </c>
      <c r="Z35" s="385">
        <f t="shared" si="20"/>
        <v>74304758</v>
      </c>
      <c r="AA35" s="389">
        <f t="shared" si="21"/>
        <v>0</v>
      </c>
      <c r="AB35" s="390">
        <f t="shared" si="22"/>
        <v>51410896.800000004</v>
      </c>
      <c r="AC35" s="390">
        <f t="shared" si="23"/>
        <v>51410896.800000004</v>
      </c>
      <c r="AD35" s="385">
        <f t="shared" si="24"/>
        <v>40693986.896659203</v>
      </c>
      <c r="AE35" s="391">
        <f t="shared" si="25"/>
        <v>10716909.903340802</v>
      </c>
      <c r="AF35" s="392">
        <f t="shared" si="26"/>
        <v>0.20849999999999999</v>
      </c>
      <c r="AG35" s="391">
        <f t="shared" si="27"/>
        <v>92346142.903340802</v>
      </c>
      <c r="AH35" s="390">
        <f t="shared" si="28"/>
        <v>3129</v>
      </c>
      <c r="AI35" s="391">
        <f>'Table 4 Level 3'!O33</f>
        <v>7027591</v>
      </c>
      <c r="AJ35" s="390">
        <f t="shared" si="8"/>
        <v>238.1346277659178</v>
      </c>
      <c r="AK35" s="391">
        <f t="shared" si="29"/>
        <v>99373733.903340802</v>
      </c>
      <c r="AL35" s="390">
        <f t="shared" si="30"/>
        <v>3367.3455288990817</v>
      </c>
      <c r="AM35" s="393">
        <f>'Table 4 Level 3'!R33</f>
        <v>27520029</v>
      </c>
      <c r="AN35" s="394">
        <f t="shared" si="31"/>
        <v>932.53461421164991</v>
      </c>
      <c r="AO35" s="391">
        <f t="shared" si="32"/>
        <v>119866171.9033408</v>
      </c>
      <c r="AP35" s="390">
        <f t="shared" si="33"/>
        <v>4061.7455153448141</v>
      </c>
      <c r="AQ35" s="392">
        <f t="shared" si="34"/>
        <v>0.49766663434440644</v>
      </c>
      <c r="AR35" s="395">
        <f t="shared" si="35"/>
        <v>54</v>
      </c>
      <c r="AS35" s="390">
        <f t="shared" si="36"/>
        <v>120990183.8</v>
      </c>
      <c r="AT35" s="390">
        <f t="shared" si="9"/>
        <v>4099.83</v>
      </c>
      <c r="AU35" s="395">
        <f t="shared" si="37"/>
        <v>17</v>
      </c>
      <c r="AV35" s="392">
        <f t="shared" si="38"/>
        <v>0.5023333656555935</v>
      </c>
      <c r="AW35" s="395">
        <f t="shared" si="39"/>
        <v>240856355.7033408</v>
      </c>
      <c r="AX35" s="396">
        <f t="shared" si="10"/>
        <v>8161.5789266151878</v>
      </c>
      <c r="AY35" s="395">
        <f t="shared" si="40"/>
        <v>59</v>
      </c>
      <c r="AZ35" s="390">
        <v>116816421.5709704</v>
      </c>
      <c r="BA35" s="389">
        <f t="shared" si="11"/>
        <v>3049750.3323704004</v>
      </c>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row>
    <row r="36" spans="1:133" s="397" customFormat="1">
      <c r="A36" s="379">
        <v>29</v>
      </c>
      <c r="B36" s="380" t="s">
        <v>205</v>
      </c>
      <c r="C36" s="380">
        <f>'[4]Table 8   2-1-10 Membership'!U34</f>
        <v>13458</v>
      </c>
      <c r="D36" s="380">
        <v>8063</v>
      </c>
      <c r="E36" s="380">
        <f t="shared" si="1"/>
        <v>1774</v>
      </c>
      <c r="F36" s="380">
        <v>5656</v>
      </c>
      <c r="G36" s="380">
        <f t="shared" si="2"/>
        <v>339</v>
      </c>
      <c r="H36" s="380">
        <v>1288</v>
      </c>
      <c r="I36" s="380">
        <f t="shared" si="12"/>
        <v>1932</v>
      </c>
      <c r="J36" s="380">
        <v>216</v>
      </c>
      <c r="K36" s="381">
        <f t="shared" si="13"/>
        <v>130</v>
      </c>
      <c r="L36" s="381">
        <f t="shared" si="3"/>
        <v>0</v>
      </c>
      <c r="M36" s="384">
        <f t="shared" si="4"/>
        <v>0</v>
      </c>
      <c r="N36" s="381">
        <f t="shared" si="5"/>
        <v>0</v>
      </c>
      <c r="O36" s="381">
        <f t="shared" si="14"/>
        <v>4175</v>
      </c>
      <c r="P36" s="381">
        <f t="shared" si="6"/>
        <v>17633</v>
      </c>
      <c r="Q36" s="385">
        <f t="shared" si="15"/>
        <v>3855</v>
      </c>
      <c r="R36" s="385">
        <f t="shared" si="7"/>
        <v>67975215</v>
      </c>
      <c r="S36" s="385">
        <f>'Table 6 (Local Deduct Calc.)'!J37</f>
        <v>23461673</v>
      </c>
      <c r="T36" s="385">
        <f t="shared" si="16"/>
        <v>23461673</v>
      </c>
      <c r="U36" s="386">
        <f t="shared" si="17"/>
        <v>44513542</v>
      </c>
      <c r="V36" s="387">
        <f t="shared" si="41"/>
        <v>0.65480000000000005</v>
      </c>
      <c r="W36" s="387">
        <f t="shared" si="18"/>
        <v>0.34520000000000001</v>
      </c>
      <c r="X36" s="388">
        <f t="shared" si="19"/>
        <v>1743.3253826720165</v>
      </c>
      <c r="Y36" s="385">
        <f>'Table 7 Local Revenue'!AQ36</f>
        <v>54067766</v>
      </c>
      <c r="Z36" s="385">
        <f t="shared" si="20"/>
        <v>30606093</v>
      </c>
      <c r="AA36" s="389">
        <f t="shared" si="21"/>
        <v>0</v>
      </c>
      <c r="AB36" s="390">
        <f t="shared" si="22"/>
        <v>23111573.100000001</v>
      </c>
      <c r="AC36" s="390">
        <f t="shared" si="23"/>
        <v>23111573.100000001</v>
      </c>
      <c r="AD36" s="385">
        <f t="shared" si="24"/>
        <v>13722357.858686402</v>
      </c>
      <c r="AE36" s="391">
        <f t="shared" si="25"/>
        <v>9389215.2413135991</v>
      </c>
      <c r="AF36" s="392">
        <f t="shared" si="26"/>
        <v>0.40629999999999999</v>
      </c>
      <c r="AG36" s="391">
        <f t="shared" si="27"/>
        <v>53902757.241313599</v>
      </c>
      <c r="AH36" s="390">
        <f t="shared" si="28"/>
        <v>4005</v>
      </c>
      <c r="AI36" s="391">
        <f>'Table 4 Level 3'!O34</f>
        <v>2618368</v>
      </c>
      <c r="AJ36" s="390">
        <f t="shared" si="8"/>
        <v>194.55847822856293</v>
      </c>
      <c r="AK36" s="391">
        <f t="shared" si="29"/>
        <v>56521125.241313599</v>
      </c>
      <c r="AL36" s="390">
        <f t="shared" si="30"/>
        <v>4199.8161124471389</v>
      </c>
      <c r="AM36" s="393">
        <f>'Table 4 Level 3'!R34</f>
        <v>12778485</v>
      </c>
      <c r="AN36" s="394">
        <f t="shared" si="31"/>
        <v>949.50847079803839</v>
      </c>
      <c r="AO36" s="391">
        <f t="shared" si="32"/>
        <v>66681242.241313599</v>
      </c>
      <c r="AP36" s="390">
        <f t="shared" si="33"/>
        <v>4954.7661050166143</v>
      </c>
      <c r="AQ36" s="392">
        <f t="shared" si="34"/>
        <v>0.5887735066212757</v>
      </c>
      <c r="AR36" s="395">
        <f t="shared" si="35"/>
        <v>45</v>
      </c>
      <c r="AS36" s="390">
        <f t="shared" si="36"/>
        <v>46573246.100000001</v>
      </c>
      <c r="AT36" s="390">
        <f t="shared" si="9"/>
        <v>3460.64</v>
      </c>
      <c r="AU36" s="395">
        <f t="shared" si="37"/>
        <v>29</v>
      </c>
      <c r="AV36" s="392">
        <f t="shared" si="38"/>
        <v>0.41122649337872424</v>
      </c>
      <c r="AW36" s="395">
        <f t="shared" si="39"/>
        <v>113254488.3413136</v>
      </c>
      <c r="AX36" s="396">
        <f t="shared" si="10"/>
        <v>8415.4026111839503</v>
      </c>
      <c r="AY36" s="395">
        <f t="shared" si="40"/>
        <v>45</v>
      </c>
      <c r="AZ36" s="390">
        <v>67902673.906903997</v>
      </c>
      <c r="BA36" s="389">
        <f t="shared" si="11"/>
        <v>-1221431.665590398</v>
      </c>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row>
    <row r="37" spans="1:133" s="416" customFormat="1">
      <c r="A37" s="398">
        <v>30</v>
      </c>
      <c r="B37" s="399" t="s">
        <v>206</v>
      </c>
      <c r="C37" s="399">
        <f>'[4]Table 8   2-1-10 Membership'!U35</f>
        <v>2440</v>
      </c>
      <c r="D37" s="399">
        <v>1317</v>
      </c>
      <c r="E37" s="399">
        <f t="shared" si="1"/>
        <v>290</v>
      </c>
      <c r="F37" s="399">
        <v>893.5</v>
      </c>
      <c r="G37" s="399">
        <f t="shared" si="2"/>
        <v>54</v>
      </c>
      <c r="H37" s="399">
        <v>224</v>
      </c>
      <c r="I37" s="399">
        <f t="shared" si="12"/>
        <v>336</v>
      </c>
      <c r="J37" s="399">
        <v>29</v>
      </c>
      <c r="K37" s="400">
        <f t="shared" si="13"/>
        <v>17</v>
      </c>
      <c r="L37" s="400">
        <f t="shared" si="3"/>
        <v>5060</v>
      </c>
      <c r="M37" s="402">
        <f t="shared" si="4"/>
        <v>0.13492999999999999</v>
      </c>
      <c r="N37" s="400">
        <f t="shared" si="5"/>
        <v>329</v>
      </c>
      <c r="O37" s="400">
        <f t="shared" si="14"/>
        <v>1026</v>
      </c>
      <c r="P37" s="381">
        <f t="shared" si="6"/>
        <v>3466</v>
      </c>
      <c r="Q37" s="403">
        <f t="shared" si="15"/>
        <v>3855</v>
      </c>
      <c r="R37" s="403">
        <f t="shared" si="7"/>
        <v>13361430</v>
      </c>
      <c r="S37" s="403">
        <f>'Table 6 (Local Deduct Calc.)'!J38</f>
        <v>2606237</v>
      </c>
      <c r="T37" s="403">
        <f t="shared" si="16"/>
        <v>2606237</v>
      </c>
      <c r="U37" s="404">
        <f t="shared" si="17"/>
        <v>10755193</v>
      </c>
      <c r="V37" s="405">
        <f t="shared" si="41"/>
        <v>0.80489999999999995</v>
      </c>
      <c r="W37" s="406">
        <f t="shared" si="18"/>
        <v>0.1951</v>
      </c>
      <c r="X37" s="407">
        <f t="shared" si="19"/>
        <v>1068.1299180327869</v>
      </c>
      <c r="Y37" s="403">
        <f>'Table 7 Local Revenue'!AQ37</f>
        <v>8316938</v>
      </c>
      <c r="Z37" s="403">
        <f t="shared" si="20"/>
        <v>5710701</v>
      </c>
      <c r="AA37" s="408">
        <f t="shared" si="21"/>
        <v>0</v>
      </c>
      <c r="AB37" s="409">
        <f t="shared" si="22"/>
        <v>4542886.2</v>
      </c>
      <c r="AC37" s="409">
        <f t="shared" si="23"/>
        <v>4542886.2</v>
      </c>
      <c r="AD37" s="403">
        <f t="shared" si="24"/>
        <v>1524465.4079064</v>
      </c>
      <c r="AE37" s="410">
        <f t="shared" si="25"/>
        <v>3018420.7920936001</v>
      </c>
      <c r="AF37" s="411">
        <f t="shared" si="26"/>
        <v>0.66439999999999999</v>
      </c>
      <c r="AG37" s="410">
        <f t="shared" si="27"/>
        <v>13773613.792093601</v>
      </c>
      <c r="AH37" s="409">
        <f t="shared" si="28"/>
        <v>5645</v>
      </c>
      <c r="AI37" s="410">
        <f>'Table 4 Level 3'!O35</f>
        <v>333305</v>
      </c>
      <c r="AJ37" s="409">
        <f t="shared" si="8"/>
        <v>136.60040983606558</v>
      </c>
      <c r="AK37" s="410">
        <f t="shared" si="29"/>
        <v>14106918.792093601</v>
      </c>
      <c r="AL37" s="409">
        <f t="shared" si="30"/>
        <v>5781.5240951203286</v>
      </c>
      <c r="AM37" s="412">
        <f>'Table 4 Level 3'!R35</f>
        <v>2107600</v>
      </c>
      <c r="AN37" s="413">
        <f t="shared" si="31"/>
        <v>863.77049180327867</v>
      </c>
      <c r="AO37" s="410">
        <f t="shared" si="32"/>
        <v>15881213.792093601</v>
      </c>
      <c r="AP37" s="409">
        <f t="shared" si="33"/>
        <v>6508.694177087541</v>
      </c>
      <c r="AQ37" s="411">
        <f t="shared" si="34"/>
        <v>0.68957800302903427</v>
      </c>
      <c r="AR37" s="414">
        <f t="shared" si="35"/>
        <v>24</v>
      </c>
      <c r="AS37" s="409">
        <f t="shared" si="36"/>
        <v>7149123.2000000002</v>
      </c>
      <c r="AT37" s="409">
        <f t="shared" si="9"/>
        <v>2929.97</v>
      </c>
      <c r="AU37" s="414">
        <f t="shared" si="37"/>
        <v>40</v>
      </c>
      <c r="AV37" s="411">
        <f t="shared" si="38"/>
        <v>0.31042199697096573</v>
      </c>
      <c r="AW37" s="414">
        <f t="shared" si="39"/>
        <v>23030336.9920936</v>
      </c>
      <c r="AX37" s="415">
        <f t="shared" si="10"/>
        <v>9438.6627016777056</v>
      </c>
      <c r="AY37" s="414">
        <f t="shared" si="40"/>
        <v>10</v>
      </c>
      <c r="AZ37" s="409">
        <v>15862391.5614064</v>
      </c>
      <c r="BA37" s="408">
        <f t="shared" si="11"/>
        <v>18822.230687201023</v>
      </c>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row>
    <row r="38" spans="1:133" s="397" customFormat="1">
      <c r="A38" s="379">
        <v>31</v>
      </c>
      <c r="B38" s="380" t="s">
        <v>207</v>
      </c>
      <c r="C38" s="380">
        <f>'[4]Table 8   2-1-10 Membership'!U36+5</f>
        <v>6470</v>
      </c>
      <c r="D38" s="380">
        <f>3874+4</f>
        <v>3878</v>
      </c>
      <c r="E38" s="380">
        <f t="shared" si="1"/>
        <v>853</v>
      </c>
      <c r="F38" s="380">
        <v>2386.5</v>
      </c>
      <c r="G38" s="380">
        <f t="shared" si="2"/>
        <v>143</v>
      </c>
      <c r="H38" s="380">
        <f>734+1</f>
        <v>735</v>
      </c>
      <c r="I38" s="380">
        <f t="shared" si="12"/>
        <v>1103</v>
      </c>
      <c r="J38" s="380">
        <v>315</v>
      </c>
      <c r="K38" s="381">
        <f t="shared" si="13"/>
        <v>189</v>
      </c>
      <c r="L38" s="381">
        <f t="shared" si="3"/>
        <v>1030</v>
      </c>
      <c r="M38" s="384">
        <f t="shared" si="4"/>
        <v>2.7470000000000001E-2</v>
      </c>
      <c r="N38" s="381">
        <f t="shared" si="5"/>
        <v>178</v>
      </c>
      <c r="O38" s="381">
        <f t="shared" si="14"/>
        <v>2466</v>
      </c>
      <c r="P38" s="417">
        <f t="shared" si="6"/>
        <v>8936</v>
      </c>
      <c r="Q38" s="385">
        <f t="shared" si="15"/>
        <v>3855</v>
      </c>
      <c r="R38" s="385">
        <f t="shared" si="7"/>
        <v>34448280</v>
      </c>
      <c r="S38" s="385">
        <f>'Table 6 (Local Deduct Calc.)'!J39</f>
        <v>12403399</v>
      </c>
      <c r="T38" s="385">
        <f t="shared" si="16"/>
        <v>12403399</v>
      </c>
      <c r="U38" s="386">
        <f t="shared" si="17"/>
        <v>22044881</v>
      </c>
      <c r="V38" s="387">
        <f t="shared" si="41"/>
        <v>0.63990000000000002</v>
      </c>
      <c r="W38" s="387">
        <f t="shared" si="18"/>
        <v>0.36009999999999998</v>
      </c>
      <c r="X38" s="388">
        <f t="shared" si="19"/>
        <v>1917.0632148377126</v>
      </c>
      <c r="Y38" s="385">
        <f>'Table 7 Local Revenue'!AQ38</f>
        <v>29400777</v>
      </c>
      <c r="Z38" s="385">
        <f t="shared" si="20"/>
        <v>16997378</v>
      </c>
      <c r="AA38" s="389">
        <f t="shared" si="21"/>
        <v>0</v>
      </c>
      <c r="AB38" s="390">
        <f t="shared" si="22"/>
        <v>11712415.200000001</v>
      </c>
      <c r="AC38" s="390">
        <f t="shared" si="23"/>
        <v>11712415.200000001</v>
      </c>
      <c r="AD38" s="385">
        <f t="shared" si="24"/>
        <v>7254342.0272543998</v>
      </c>
      <c r="AE38" s="391">
        <f t="shared" si="25"/>
        <v>4458073.1727456013</v>
      </c>
      <c r="AF38" s="392">
        <f t="shared" si="26"/>
        <v>0.38059999999999999</v>
      </c>
      <c r="AG38" s="391">
        <f t="shared" si="27"/>
        <v>26502954.1727456</v>
      </c>
      <c r="AH38" s="390">
        <f t="shared" si="28"/>
        <v>4096</v>
      </c>
      <c r="AI38" s="391">
        <f>'Table 4 Level 3'!O36</f>
        <v>883805</v>
      </c>
      <c r="AJ38" s="390">
        <f t="shared" si="8"/>
        <v>136.60046367851623</v>
      </c>
      <c r="AK38" s="391">
        <f t="shared" si="29"/>
        <v>27386759.1727456</v>
      </c>
      <c r="AL38" s="390">
        <f t="shared" si="30"/>
        <v>4232.8839525109115</v>
      </c>
      <c r="AM38" s="393">
        <f>'Table 4 Level 3'!R36</f>
        <v>4900575</v>
      </c>
      <c r="AN38" s="394">
        <f t="shared" si="31"/>
        <v>757.4304482225657</v>
      </c>
      <c r="AO38" s="391">
        <f t="shared" si="32"/>
        <v>31403529.1727456</v>
      </c>
      <c r="AP38" s="390">
        <f t="shared" si="33"/>
        <v>4853.7139370549612</v>
      </c>
      <c r="AQ38" s="392">
        <f t="shared" si="34"/>
        <v>0.56563221509859507</v>
      </c>
      <c r="AR38" s="395">
        <f t="shared" si="35"/>
        <v>51</v>
      </c>
      <c r="AS38" s="390">
        <f t="shared" si="36"/>
        <v>24115814.199999999</v>
      </c>
      <c r="AT38" s="390">
        <f t="shared" si="9"/>
        <v>3727.33</v>
      </c>
      <c r="AU38" s="395">
        <f t="shared" si="37"/>
        <v>22</v>
      </c>
      <c r="AV38" s="392">
        <f t="shared" si="38"/>
        <v>0.43436778490140487</v>
      </c>
      <c r="AW38" s="395">
        <f t="shared" si="39"/>
        <v>55519343.372745603</v>
      </c>
      <c r="AX38" s="396">
        <f t="shared" si="10"/>
        <v>8581.042252356352</v>
      </c>
      <c r="AY38" s="395">
        <f t="shared" si="40"/>
        <v>41</v>
      </c>
      <c r="AZ38" s="390">
        <v>30263338.363254402</v>
      </c>
      <c r="BA38" s="389">
        <f t="shared" si="11"/>
        <v>1140190.8094911985</v>
      </c>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row>
    <row r="39" spans="1:133" s="397" customFormat="1">
      <c r="A39" s="379">
        <v>32</v>
      </c>
      <c r="B39" s="380" t="s">
        <v>208</v>
      </c>
      <c r="C39" s="380">
        <f>'[4]Table 8   2-1-10 Membership'!U37</f>
        <v>24050</v>
      </c>
      <c r="D39" s="380">
        <v>11446</v>
      </c>
      <c r="E39" s="380">
        <f t="shared" si="1"/>
        <v>2518</v>
      </c>
      <c r="F39" s="380">
        <v>8770</v>
      </c>
      <c r="G39" s="380">
        <f t="shared" si="2"/>
        <v>526</v>
      </c>
      <c r="H39" s="380">
        <v>3106</v>
      </c>
      <c r="I39" s="380">
        <f t="shared" si="12"/>
        <v>4659</v>
      </c>
      <c r="J39" s="380">
        <v>1035</v>
      </c>
      <c r="K39" s="381">
        <f t="shared" si="13"/>
        <v>621</v>
      </c>
      <c r="L39" s="381">
        <f t="shared" si="3"/>
        <v>0</v>
      </c>
      <c r="M39" s="384">
        <f t="shared" si="4"/>
        <v>0</v>
      </c>
      <c r="N39" s="381">
        <f t="shared" si="5"/>
        <v>0</v>
      </c>
      <c r="O39" s="381">
        <f t="shared" si="14"/>
        <v>8324</v>
      </c>
      <c r="P39" s="381">
        <f t="shared" si="6"/>
        <v>32374</v>
      </c>
      <c r="Q39" s="385">
        <f t="shared" si="15"/>
        <v>3855</v>
      </c>
      <c r="R39" s="385">
        <f t="shared" si="7"/>
        <v>124801770</v>
      </c>
      <c r="S39" s="385">
        <f>'Table 6 (Local Deduct Calc.)'!J40</f>
        <v>18392357.5</v>
      </c>
      <c r="T39" s="385">
        <f t="shared" si="16"/>
        <v>18392357.5</v>
      </c>
      <c r="U39" s="386">
        <f t="shared" si="17"/>
        <v>106409412.5</v>
      </c>
      <c r="V39" s="387">
        <f t="shared" si="41"/>
        <v>0.85260000000000002</v>
      </c>
      <c r="W39" s="387">
        <f t="shared" si="18"/>
        <v>0.1474</v>
      </c>
      <c r="X39" s="388">
        <f t="shared" si="19"/>
        <v>764.75498960498965</v>
      </c>
      <c r="Y39" s="385">
        <f>'Table 7 Local Revenue'!AQ39</f>
        <v>46684467.5</v>
      </c>
      <c r="Z39" s="419">
        <f>IF(Y39-T39&gt;0,Y39-T39,0)-616364</f>
        <v>27675746</v>
      </c>
      <c r="AA39" s="389">
        <f t="shared" si="21"/>
        <v>0</v>
      </c>
      <c r="AB39" s="390">
        <f t="shared" si="22"/>
        <v>42432601.800000004</v>
      </c>
      <c r="AC39" s="390">
        <f t="shared" si="23"/>
        <v>27675746</v>
      </c>
      <c r="AD39" s="385">
        <f t="shared" si="24"/>
        <v>7016576.5318879997</v>
      </c>
      <c r="AE39" s="391">
        <f t="shared" si="25"/>
        <v>20659169.468111999</v>
      </c>
      <c r="AF39" s="392">
        <f t="shared" si="26"/>
        <v>0.74650000000000005</v>
      </c>
      <c r="AG39" s="391">
        <f t="shared" si="27"/>
        <v>127068581.96811199</v>
      </c>
      <c r="AH39" s="390">
        <f t="shared" si="28"/>
        <v>5284</v>
      </c>
      <c r="AI39" s="391">
        <f>'Table 4 Level 3'!O37</f>
        <v>3285240</v>
      </c>
      <c r="AJ39" s="390">
        <f t="shared" si="8"/>
        <v>136.60041580041579</v>
      </c>
      <c r="AK39" s="391">
        <f t="shared" si="29"/>
        <v>130353821.96811199</v>
      </c>
      <c r="AL39" s="390">
        <f t="shared" si="30"/>
        <v>5420.1173375514345</v>
      </c>
      <c r="AM39" s="393">
        <f>'Table 4 Level 3'!R37</f>
        <v>16747709</v>
      </c>
      <c r="AN39" s="394">
        <f t="shared" si="31"/>
        <v>696.37043659043661</v>
      </c>
      <c r="AO39" s="391">
        <f t="shared" si="32"/>
        <v>143816290.96811199</v>
      </c>
      <c r="AP39" s="390">
        <f t="shared" si="33"/>
        <v>5979.8873583414552</v>
      </c>
      <c r="AQ39" s="392">
        <f t="shared" si="34"/>
        <v>0.75738868047033536</v>
      </c>
      <c r="AR39" s="395">
        <f t="shared" si="35"/>
        <v>8</v>
      </c>
      <c r="AS39" s="390">
        <f t="shared" si="36"/>
        <v>46068103.5</v>
      </c>
      <c r="AT39" s="390">
        <f t="shared" si="9"/>
        <v>1915.51</v>
      </c>
      <c r="AU39" s="395">
        <f t="shared" si="37"/>
        <v>62</v>
      </c>
      <c r="AV39" s="392">
        <f t="shared" si="38"/>
        <v>0.24261131952966461</v>
      </c>
      <c r="AW39" s="395">
        <f t="shared" si="39"/>
        <v>189884394.46811199</v>
      </c>
      <c r="AX39" s="396">
        <f t="shared" si="10"/>
        <v>7895.4010173851138</v>
      </c>
      <c r="AY39" s="395">
        <f t="shared" si="40"/>
        <v>62</v>
      </c>
      <c r="AZ39" s="390">
        <v>143386932.20360801</v>
      </c>
      <c r="BA39" s="389">
        <f t="shared" si="11"/>
        <v>429358.76450398564</v>
      </c>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row>
    <row r="40" spans="1:133" s="397" customFormat="1">
      <c r="A40" s="379">
        <v>33</v>
      </c>
      <c r="B40" s="380" t="s">
        <v>209</v>
      </c>
      <c r="C40" s="380">
        <f>'[4]Table 8   2-1-10 Membership'!U38</f>
        <v>1832</v>
      </c>
      <c r="D40" s="380">
        <v>1648</v>
      </c>
      <c r="E40" s="380">
        <f t="shared" si="1"/>
        <v>363</v>
      </c>
      <c r="F40" s="380">
        <v>570</v>
      </c>
      <c r="G40" s="380">
        <f t="shared" si="2"/>
        <v>34</v>
      </c>
      <c r="H40" s="380">
        <v>218</v>
      </c>
      <c r="I40" s="380">
        <f t="shared" si="12"/>
        <v>327</v>
      </c>
      <c r="J40" s="380">
        <v>8</v>
      </c>
      <c r="K40" s="381">
        <f t="shared" si="13"/>
        <v>5</v>
      </c>
      <c r="L40" s="381">
        <f t="shared" si="3"/>
        <v>5668</v>
      </c>
      <c r="M40" s="384">
        <f t="shared" si="4"/>
        <v>0.15115000000000001</v>
      </c>
      <c r="N40" s="381">
        <f t="shared" si="5"/>
        <v>277</v>
      </c>
      <c r="O40" s="381">
        <f t="shared" si="14"/>
        <v>1006</v>
      </c>
      <c r="P40" s="381">
        <f t="shared" si="6"/>
        <v>2838</v>
      </c>
      <c r="Q40" s="385">
        <f t="shared" si="15"/>
        <v>3855</v>
      </c>
      <c r="R40" s="385">
        <f t="shared" si="7"/>
        <v>10940490</v>
      </c>
      <c r="S40" s="385">
        <f>'Table 6 (Local Deduct Calc.)'!J41</f>
        <v>2732103</v>
      </c>
      <c r="T40" s="385">
        <f t="shared" si="16"/>
        <v>2732103</v>
      </c>
      <c r="U40" s="386">
        <f t="shared" si="17"/>
        <v>8208387</v>
      </c>
      <c r="V40" s="387">
        <f t="shared" si="41"/>
        <v>0.75029999999999997</v>
      </c>
      <c r="W40" s="387">
        <f t="shared" si="18"/>
        <v>0.24970000000000001</v>
      </c>
      <c r="X40" s="388">
        <f t="shared" si="19"/>
        <v>1491.3225982532751</v>
      </c>
      <c r="Y40" s="385">
        <f>'Table 7 Local Revenue'!AQ40</f>
        <v>6247975</v>
      </c>
      <c r="Z40" s="385">
        <f t="shared" si="20"/>
        <v>3515872</v>
      </c>
      <c r="AA40" s="389">
        <f t="shared" si="21"/>
        <v>0</v>
      </c>
      <c r="AB40" s="390">
        <f t="shared" si="22"/>
        <v>3719766.6</v>
      </c>
      <c r="AC40" s="390">
        <f t="shared" si="23"/>
        <v>3515872</v>
      </c>
      <c r="AD40" s="385">
        <f t="shared" si="24"/>
        <v>1510010.7700479999</v>
      </c>
      <c r="AE40" s="391">
        <f t="shared" si="25"/>
        <v>2005861.2299520001</v>
      </c>
      <c r="AF40" s="392">
        <f t="shared" si="26"/>
        <v>0.57050000000000001</v>
      </c>
      <c r="AG40" s="391">
        <f t="shared" si="27"/>
        <v>10214248.229952</v>
      </c>
      <c r="AH40" s="390">
        <f t="shared" si="28"/>
        <v>5575</v>
      </c>
      <c r="AI40" s="391">
        <f>'Table 4 Level 3'!O38</f>
        <v>270252</v>
      </c>
      <c r="AJ40" s="390">
        <f t="shared" si="8"/>
        <v>147.5174672489083</v>
      </c>
      <c r="AK40" s="391">
        <f t="shared" si="29"/>
        <v>10484500.229952</v>
      </c>
      <c r="AL40" s="390">
        <f t="shared" si="30"/>
        <v>5722.9804748646293</v>
      </c>
      <c r="AM40" s="393">
        <f>'Table 4 Level 3'!R38</f>
        <v>1470780</v>
      </c>
      <c r="AN40" s="394">
        <f t="shared" si="31"/>
        <v>802.82751091703062</v>
      </c>
      <c r="AO40" s="391">
        <f t="shared" si="32"/>
        <v>11685028.229952</v>
      </c>
      <c r="AP40" s="390">
        <f t="shared" si="33"/>
        <v>6378.2905185327509</v>
      </c>
      <c r="AQ40" s="392">
        <f t="shared" si="34"/>
        <v>0.65159349385692811</v>
      </c>
      <c r="AR40" s="395">
        <f t="shared" si="35"/>
        <v>35</v>
      </c>
      <c r="AS40" s="390">
        <f t="shared" si="36"/>
        <v>6247975</v>
      </c>
      <c r="AT40" s="390">
        <f t="shared" si="9"/>
        <v>3410.47</v>
      </c>
      <c r="AU40" s="395">
        <f t="shared" si="37"/>
        <v>30</v>
      </c>
      <c r="AV40" s="392">
        <f t="shared" si="38"/>
        <v>0.34840650614307189</v>
      </c>
      <c r="AW40" s="395">
        <f t="shared" si="39"/>
        <v>17933003.229952</v>
      </c>
      <c r="AX40" s="396">
        <f t="shared" si="10"/>
        <v>9788.7572215895198</v>
      </c>
      <c r="AY40" s="395">
        <f t="shared" si="40"/>
        <v>6</v>
      </c>
      <c r="AZ40" s="390">
        <v>12815381.230535999</v>
      </c>
      <c r="BA40" s="389">
        <f t="shared" si="11"/>
        <v>-1130353.0005839989</v>
      </c>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row>
    <row r="41" spans="1:133" s="397" customFormat="1">
      <c r="A41" s="379">
        <v>34</v>
      </c>
      <c r="B41" s="380" t="s">
        <v>210</v>
      </c>
      <c r="C41" s="382">
        <f>'[4]Table 8   2-1-10 Membership'!U39</f>
        <v>4365</v>
      </c>
      <c r="D41" s="382">
        <v>3636</v>
      </c>
      <c r="E41" s="382">
        <f t="shared" si="1"/>
        <v>800</v>
      </c>
      <c r="F41" s="382">
        <v>1358.5</v>
      </c>
      <c r="G41" s="382">
        <f t="shared" si="2"/>
        <v>82</v>
      </c>
      <c r="H41" s="382">
        <v>702</v>
      </c>
      <c r="I41" s="382">
        <f t="shared" si="12"/>
        <v>1053</v>
      </c>
      <c r="J41" s="382">
        <v>41</v>
      </c>
      <c r="K41" s="382">
        <f t="shared" si="13"/>
        <v>25</v>
      </c>
      <c r="L41" s="381">
        <f t="shared" si="3"/>
        <v>3135</v>
      </c>
      <c r="M41" s="384">
        <f t="shared" si="4"/>
        <v>8.3599999999999994E-2</v>
      </c>
      <c r="N41" s="381">
        <f t="shared" si="5"/>
        <v>365</v>
      </c>
      <c r="O41" s="381">
        <f t="shared" si="14"/>
        <v>2325</v>
      </c>
      <c r="P41" s="381">
        <f t="shared" si="6"/>
        <v>6690</v>
      </c>
      <c r="Q41" s="385">
        <f t="shared" si="15"/>
        <v>3855</v>
      </c>
      <c r="R41" s="385">
        <f t="shared" si="7"/>
        <v>25789950</v>
      </c>
      <c r="S41" s="385">
        <f>'Table 6 (Local Deduct Calc.)'!J42</f>
        <v>5339780</v>
      </c>
      <c r="T41" s="385">
        <f t="shared" si="16"/>
        <v>5339780</v>
      </c>
      <c r="U41" s="386">
        <f t="shared" si="17"/>
        <v>20450170</v>
      </c>
      <c r="V41" s="387">
        <f t="shared" si="41"/>
        <v>0.79300000000000004</v>
      </c>
      <c r="W41" s="387">
        <f t="shared" si="18"/>
        <v>0.20699999999999999</v>
      </c>
      <c r="X41" s="388">
        <f t="shared" si="19"/>
        <v>1223.3172966781215</v>
      </c>
      <c r="Y41" s="385">
        <f>'Table 7 Local Revenue'!AQ41</f>
        <v>11732830</v>
      </c>
      <c r="Z41" s="385">
        <f t="shared" si="20"/>
        <v>6393050</v>
      </c>
      <c r="AA41" s="389">
        <f t="shared" si="21"/>
        <v>0</v>
      </c>
      <c r="AB41" s="390">
        <f t="shared" si="22"/>
        <v>8768583</v>
      </c>
      <c r="AC41" s="390">
        <f t="shared" si="23"/>
        <v>6393050</v>
      </c>
      <c r="AD41" s="385">
        <f t="shared" si="24"/>
        <v>2276181.5219999999</v>
      </c>
      <c r="AE41" s="391">
        <f t="shared" si="25"/>
        <v>4116868.4780000001</v>
      </c>
      <c r="AF41" s="392">
        <f t="shared" si="26"/>
        <v>0.64400000000000002</v>
      </c>
      <c r="AG41" s="391">
        <f t="shared" si="27"/>
        <v>24567038.478</v>
      </c>
      <c r="AH41" s="390">
        <f t="shared" si="28"/>
        <v>5628</v>
      </c>
      <c r="AI41" s="391">
        <f>'Table 4 Level 3'!O39</f>
        <v>596261</v>
      </c>
      <c r="AJ41" s="390">
        <f t="shared" si="8"/>
        <v>136.60045819014891</v>
      </c>
      <c r="AK41" s="391">
        <f t="shared" si="29"/>
        <v>25163299.478</v>
      </c>
      <c r="AL41" s="390">
        <f t="shared" si="30"/>
        <v>5764.7879674684991</v>
      </c>
      <c r="AM41" s="393">
        <f>'Table 4 Level 3'!R39</f>
        <v>3407801</v>
      </c>
      <c r="AN41" s="394">
        <f t="shared" si="31"/>
        <v>780.71042382588769</v>
      </c>
      <c r="AO41" s="391">
        <f>AG41+AM41</f>
        <v>27974839.478</v>
      </c>
      <c r="AP41" s="390">
        <f t="shared" si="33"/>
        <v>6408.8979331042383</v>
      </c>
      <c r="AQ41" s="392">
        <f t="shared" si="34"/>
        <v>0.7045198029942159</v>
      </c>
      <c r="AR41" s="395">
        <f t="shared" si="35"/>
        <v>21</v>
      </c>
      <c r="AS41" s="390">
        <f t="shared" si="36"/>
        <v>11732830</v>
      </c>
      <c r="AT41" s="390">
        <f t="shared" si="9"/>
        <v>2687.93</v>
      </c>
      <c r="AU41" s="395">
        <f t="shared" si="37"/>
        <v>49</v>
      </c>
      <c r="AV41" s="392">
        <f t="shared" si="38"/>
        <v>0.2954801970057841</v>
      </c>
      <c r="AW41" s="395">
        <f t="shared" si="39"/>
        <v>39707669.478</v>
      </c>
      <c r="AX41" s="396">
        <f t="shared" si="10"/>
        <v>9096.8314955326459</v>
      </c>
      <c r="AY41" s="395">
        <f t="shared" si="40"/>
        <v>20</v>
      </c>
      <c r="AZ41" s="390">
        <v>29191492.293400001</v>
      </c>
      <c r="BA41" s="389">
        <f t="shared" si="11"/>
        <v>-1216652.8154000007</v>
      </c>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row>
    <row r="42" spans="1:133" s="416" customFormat="1">
      <c r="A42" s="398">
        <v>35</v>
      </c>
      <c r="B42" s="399" t="s">
        <v>211</v>
      </c>
      <c r="C42" s="401">
        <f>'[4]Table 8   2-1-10 Membership'!U40</f>
        <v>6438</v>
      </c>
      <c r="D42" s="401">
        <v>4798</v>
      </c>
      <c r="E42" s="401">
        <f t="shared" si="1"/>
        <v>1056</v>
      </c>
      <c r="F42" s="401">
        <v>1715</v>
      </c>
      <c r="G42" s="401">
        <f t="shared" si="2"/>
        <v>103</v>
      </c>
      <c r="H42" s="401">
        <v>801</v>
      </c>
      <c r="I42" s="401">
        <f t="shared" si="12"/>
        <v>1202</v>
      </c>
      <c r="J42" s="401">
        <v>211</v>
      </c>
      <c r="K42" s="401">
        <f t="shared" si="13"/>
        <v>127</v>
      </c>
      <c r="L42" s="400">
        <f t="shared" si="3"/>
        <v>1062</v>
      </c>
      <c r="M42" s="402">
        <f t="shared" si="4"/>
        <v>2.8320000000000001E-2</v>
      </c>
      <c r="N42" s="400">
        <f t="shared" si="5"/>
        <v>182</v>
      </c>
      <c r="O42" s="400">
        <f t="shared" si="14"/>
        <v>2670</v>
      </c>
      <c r="P42" s="381">
        <f t="shared" si="6"/>
        <v>9108</v>
      </c>
      <c r="Q42" s="403">
        <f t="shared" si="15"/>
        <v>3855</v>
      </c>
      <c r="R42" s="403">
        <f t="shared" si="7"/>
        <v>35111340</v>
      </c>
      <c r="S42" s="403">
        <f>'Table 6 (Local Deduct Calc.)'!J43</f>
        <v>8995851.5</v>
      </c>
      <c r="T42" s="403">
        <f t="shared" si="16"/>
        <v>8995851.5</v>
      </c>
      <c r="U42" s="404">
        <f t="shared" si="17"/>
        <v>26115488.5</v>
      </c>
      <c r="V42" s="405">
        <f t="shared" si="41"/>
        <v>0.74380000000000002</v>
      </c>
      <c r="W42" s="406">
        <f t="shared" si="18"/>
        <v>0.25619999999999998</v>
      </c>
      <c r="X42" s="407">
        <f t="shared" si="19"/>
        <v>1397.3052966759863</v>
      </c>
      <c r="Y42" s="403">
        <f>'Table 7 Local Revenue'!AQ42</f>
        <v>17876173.5</v>
      </c>
      <c r="Z42" s="403">
        <f t="shared" si="20"/>
        <v>8880322</v>
      </c>
      <c r="AA42" s="408">
        <f t="shared" si="21"/>
        <v>0</v>
      </c>
      <c r="AB42" s="409">
        <f t="shared" si="22"/>
        <v>11937855.600000001</v>
      </c>
      <c r="AC42" s="409">
        <f t="shared" si="23"/>
        <v>8880322</v>
      </c>
      <c r="AD42" s="403">
        <f t="shared" si="24"/>
        <v>3913238.2138079996</v>
      </c>
      <c r="AE42" s="410">
        <f t="shared" si="25"/>
        <v>4967083.7861919999</v>
      </c>
      <c r="AF42" s="411">
        <f t="shared" si="26"/>
        <v>0.55930000000000002</v>
      </c>
      <c r="AG42" s="410">
        <f t="shared" si="27"/>
        <v>31082572.286192</v>
      </c>
      <c r="AH42" s="409">
        <f t="shared" si="28"/>
        <v>4828</v>
      </c>
      <c r="AI42" s="410">
        <f>'Table 4 Level 3'!O40</f>
        <v>879433</v>
      </c>
      <c r="AJ42" s="409">
        <f t="shared" si="8"/>
        <v>136.60034172103138</v>
      </c>
      <c r="AK42" s="410">
        <f t="shared" si="29"/>
        <v>31962005.286192</v>
      </c>
      <c r="AL42" s="409">
        <f t="shared" si="30"/>
        <v>4964.5860960223672</v>
      </c>
      <c r="AM42" s="412">
        <f>'Table 4 Level 3'!R40</f>
        <v>4342819</v>
      </c>
      <c r="AN42" s="413">
        <f t="shared" si="31"/>
        <v>674.56026716371548</v>
      </c>
      <c r="AO42" s="410">
        <f t="shared" si="32"/>
        <v>35425391.286192</v>
      </c>
      <c r="AP42" s="409">
        <f t="shared" si="33"/>
        <v>5502.5460214650511</v>
      </c>
      <c r="AQ42" s="411">
        <f t="shared" si="34"/>
        <v>0.6646219755141054</v>
      </c>
      <c r="AR42" s="414">
        <f t="shared" si="35"/>
        <v>33</v>
      </c>
      <c r="AS42" s="409">
        <f t="shared" si="36"/>
        <v>17876173.5</v>
      </c>
      <c r="AT42" s="409">
        <f t="shared" si="9"/>
        <v>2776.67</v>
      </c>
      <c r="AU42" s="414">
        <f t="shared" si="37"/>
        <v>47</v>
      </c>
      <c r="AV42" s="411">
        <f t="shared" si="38"/>
        <v>0.33537802448589465</v>
      </c>
      <c r="AW42" s="414">
        <f t="shared" si="39"/>
        <v>53301564.786192</v>
      </c>
      <c r="AX42" s="415">
        <f t="shared" si="10"/>
        <v>8279.2116785013986</v>
      </c>
      <c r="AY42" s="414">
        <f t="shared" si="40"/>
        <v>50</v>
      </c>
      <c r="AZ42" s="409">
        <v>35743171.359187998</v>
      </c>
      <c r="BA42" s="408">
        <f t="shared" si="11"/>
        <v>-317780.07299599797</v>
      </c>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row>
    <row r="43" spans="1:133" s="397" customFormat="1">
      <c r="A43" s="379">
        <v>36</v>
      </c>
      <c r="B43" s="380" t="s">
        <v>74</v>
      </c>
      <c r="C43" s="382">
        <f>'[4]Table 8   2-1-10 Membership'!U41+'[4]Table 8   2-1-10 Membership'!U158+172</f>
        <v>37409</v>
      </c>
      <c r="D43" s="382">
        <f>6868+8181+17708+157</f>
        <v>32914</v>
      </c>
      <c r="E43" s="382">
        <f t="shared" si="1"/>
        <v>7241</v>
      </c>
      <c r="F43" s="382">
        <f>2967+1143.5+2019</f>
        <v>6129.5</v>
      </c>
      <c r="G43" s="382">
        <f t="shared" si="2"/>
        <v>368</v>
      </c>
      <c r="H43" s="382">
        <f>1020+1818+1165+9</f>
        <v>4012</v>
      </c>
      <c r="I43" s="382">
        <f t="shared" si="12"/>
        <v>6018</v>
      </c>
      <c r="J43" s="382">
        <f>1948+328+379+16</f>
        <v>2671</v>
      </c>
      <c r="K43" s="382">
        <f t="shared" si="13"/>
        <v>1603</v>
      </c>
      <c r="L43" s="381">
        <f t="shared" si="3"/>
        <v>0</v>
      </c>
      <c r="M43" s="384">
        <f t="shared" si="4"/>
        <v>0</v>
      </c>
      <c r="N43" s="381">
        <f t="shared" si="5"/>
        <v>0</v>
      </c>
      <c r="O43" s="381">
        <f t="shared" si="14"/>
        <v>15230</v>
      </c>
      <c r="P43" s="417">
        <f t="shared" si="6"/>
        <v>52639</v>
      </c>
      <c r="Q43" s="385">
        <f t="shared" si="15"/>
        <v>3855</v>
      </c>
      <c r="R43" s="385">
        <f t="shared" si="7"/>
        <v>202923345</v>
      </c>
      <c r="S43" s="385">
        <f>'Table 6 (Local Deduct Calc.)'!J44</f>
        <v>98345010</v>
      </c>
      <c r="T43" s="385">
        <f t="shared" si="16"/>
        <v>98345010</v>
      </c>
      <c r="U43" s="386">
        <f t="shared" si="17"/>
        <v>104578335</v>
      </c>
      <c r="V43" s="387">
        <f t="shared" si="41"/>
        <v>0.51539999999999997</v>
      </c>
      <c r="W43" s="387">
        <f t="shared" si="18"/>
        <v>0.48459999999999998</v>
      </c>
      <c r="X43" s="388">
        <f t="shared" si="19"/>
        <v>2628.9130957790908</v>
      </c>
      <c r="Y43" s="385">
        <f>'Table 7 Local Revenue'!AQ43</f>
        <v>197062873</v>
      </c>
      <c r="Z43" s="385">
        <f t="shared" si="20"/>
        <v>98717863</v>
      </c>
      <c r="AA43" s="389">
        <f t="shared" si="21"/>
        <v>0</v>
      </c>
      <c r="AB43" s="390">
        <f t="shared" si="22"/>
        <v>68993937.300000012</v>
      </c>
      <c r="AC43" s="390">
        <f t="shared" si="23"/>
        <v>68993937.300000012</v>
      </c>
      <c r="AD43" s="385">
        <f t="shared" si="24"/>
        <v>57507274.666797601</v>
      </c>
      <c r="AE43" s="391">
        <f t="shared" si="25"/>
        <v>11486662.633202411</v>
      </c>
      <c r="AF43" s="392">
        <f t="shared" si="26"/>
        <v>0.16650000000000001</v>
      </c>
      <c r="AG43" s="391">
        <f t="shared" si="27"/>
        <v>116064997.6332024</v>
      </c>
      <c r="AH43" s="390">
        <f t="shared" si="28"/>
        <v>3103</v>
      </c>
      <c r="AI43" s="391">
        <f>'Table 4 Level 3'!O41</f>
        <v>5590084</v>
      </c>
      <c r="AJ43" s="390">
        <f t="shared" si="8"/>
        <v>149.43152717260551</v>
      </c>
      <c r="AK43" s="391">
        <f t="shared" si="29"/>
        <v>121655081.6332024</v>
      </c>
      <c r="AL43" s="390">
        <f t="shared" si="30"/>
        <v>3252.0270959716217</v>
      </c>
      <c r="AM43" s="393">
        <f>'Table 4 Level 3'!R41</f>
        <v>33177603.020294182</v>
      </c>
      <c r="AN43" s="394">
        <f t="shared" si="31"/>
        <v>886.88826272539177</v>
      </c>
      <c r="AO43" s="391">
        <f>AG43+AM43</f>
        <v>149242600.65349659</v>
      </c>
      <c r="AP43" s="390">
        <f t="shared" si="33"/>
        <v>3989.4838315244083</v>
      </c>
      <c r="AQ43" s="392">
        <f t="shared" si="34"/>
        <v>0.47141913866508478</v>
      </c>
      <c r="AR43" s="395">
        <f t="shared" si="35"/>
        <v>58</v>
      </c>
      <c r="AS43" s="390">
        <f t="shared" si="36"/>
        <v>167338947.30000001</v>
      </c>
      <c r="AT43" s="390">
        <f t="shared" si="9"/>
        <v>4473.2299999999996</v>
      </c>
      <c r="AU43" s="395">
        <f t="shared" si="37"/>
        <v>15</v>
      </c>
      <c r="AV43" s="392">
        <f t="shared" si="38"/>
        <v>0.52858086133491533</v>
      </c>
      <c r="AW43" s="395">
        <f t="shared" si="39"/>
        <v>316581547.95349658</v>
      </c>
      <c r="AX43" s="396">
        <f t="shared" si="10"/>
        <v>8462.7107902776497</v>
      </c>
      <c r="AY43" s="395">
        <f t="shared" si="40"/>
        <v>42</v>
      </c>
      <c r="AZ43" s="390">
        <v>140345645.53915793</v>
      </c>
      <c r="BA43" s="389">
        <f t="shared" si="11"/>
        <v>8896955.1143386662</v>
      </c>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row>
    <row r="44" spans="1:133" s="397" customFormat="1">
      <c r="A44" s="379">
        <v>37</v>
      </c>
      <c r="B44" s="380" t="s">
        <v>213</v>
      </c>
      <c r="C44" s="382">
        <f>'[4]Table 8   2-1-10 Membership'!U42+7</f>
        <v>19053</v>
      </c>
      <c r="D44" s="382">
        <v>10697</v>
      </c>
      <c r="E44" s="382">
        <f t="shared" si="1"/>
        <v>2353</v>
      </c>
      <c r="F44" s="382">
        <v>2765.5</v>
      </c>
      <c r="G44" s="382">
        <f t="shared" si="2"/>
        <v>166</v>
      </c>
      <c r="H44" s="382">
        <f>2478+2</f>
        <v>2480</v>
      </c>
      <c r="I44" s="382">
        <f t="shared" si="12"/>
        <v>3720</v>
      </c>
      <c r="J44" s="382">
        <v>911</v>
      </c>
      <c r="K44" s="382">
        <f t="shared" si="13"/>
        <v>547</v>
      </c>
      <c r="L44" s="381">
        <f t="shared" si="3"/>
        <v>0</v>
      </c>
      <c r="M44" s="384">
        <f t="shared" si="4"/>
        <v>0</v>
      </c>
      <c r="N44" s="381">
        <f t="shared" si="5"/>
        <v>0</v>
      </c>
      <c r="O44" s="381">
        <f t="shared" si="14"/>
        <v>6786</v>
      </c>
      <c r="P44" s="381">
        <f t="shared" si="6"/>
        <v>25839</v>
      </c>
      <c r="Q44" s="385">
        <f t="shared" si="15"/>
        <v>3855</v>
      </c>
      <c r="R44" s="385">
        <f t="shared" si="7"/>
        <v>99609345</v>
      </c>
      <c r="S44" s="385">
        <f>'Table 6 (Local Deduct Calc.)'!J45</f>
        <v>20090113</v>
      </c>
      <c r="T44" s="385">
        <f t="shared" si="16"/>
        <v>20090113</v>
      </c>
      <c r="U44" s="386">
        <f t="shared" si="17"/>
        <v>79519232</v>
      </c>
      <c r="V44" s="387">
        <f t="shared" si="41"/>
        <v>0.79830000000000001</v>
      </c>
      <c r="W44" s="387">
        <f t="shared" si="18"/>
        <v>0.20169999999999999</v>
      </c>
      <c r="X44" s="388">
        <f t="shared" si="19"/>
        <v>1054.4330551619169</v>
      </c>
      <c r="Y44" s="385">
        <f>'Table 7 Local Revenue'!AQ44</f>
        <v>56194552</v>
      </c>
      <c r="Z44" s="385">
        <f t="shared" si="20"/>
        <v>36104439</v>
      </c>
      <c r="AA44" s="389">
        <f t="shared" si="21"/>
        <v>0</v>
      </c>
      <c r="AB44" s="390">
        <f t="shared" si="22"/>
        <v>33867177.300000004</v>
      </c>
      <c r="AC44" s="390">
        <f t="shared" si="23"/>
        <v>33867177.300000004</v>
      </c>
      <c r="AD44" s="385">
        <f t="shared" si="24"/>
        <v>11749336.617625199</v>
      </c>
      <c r="AE44" s="391">
        <f t="shared" si="25"/>
        <v>22117840.682374805</v>
      </c>
      <c r="AF44" s="392">
        <f t="shared" si="26"/>
        <v>0.65310000000000001</v>
      </c>
      <c r="AG44" s="391">
        <f t="shared" si="27"/>
        <v>101637072.68237481</v>
      </c>
      <c r="AH44" s="390">
        <f t="shared" si="28"/>
        <v>5334</v>
      </c>
      <c r="AI44" s="391">
        <f>'Table 4 Level 3'!O42</f>
        <v>2622647</v>
      </c>
      <c r="AJ44" s="390">
        <f t="shared" si="8"/>
        <v>137.65008135201805</v>
      </c>
      <c r="AK44" s="391">
        <f t="shared" si="29"/>
        <v>104259719.68237481</v>
      </c>
      <c r="AL44" s="390">
        <f t="shared" si="30"/>
        <v>5472.0894180640744</v>
      </c>
      <c r="AM44" s="393">
        <f>'Table 4 Level 3'!R42</f>
        <v>15075878</v>
      </c>
      <c r="AN44" s="394">
        <f t="shared" si="31"/>
        <v>791.26006403191093</v>
      </c>
      <c r="AO44" s="391">
        <f t="shared" si="32"/>
        <v>116712950.68237481</v>
      </c>
      <c r="AP44" s="390">
        <f t="shared" si="33"/>
        <v>6125.6994007439671</v>
      </c>
      <c r="AQ44" s="392">
        <f t="shared" si="34"/>
        <v>0.68385062334579949</v>
      </c>
      <c r="AR44" s="395">
        <f t="shared" si="35"/>
        <v>27</v>
      </c>
      <c r="AS44" s="390">
        <f t="shared" si="36"/>
        <v>53957290.299999997</v>
      </c>
      <c r="AT44" s="390">
        <f t="shared" si="9"/>
        <v>2831.96</v>
      </c>
      <c r="AU44" s="395">
        <f t="shared" si="37"/>
        <v>46</v>
      </c>
      <c r="AV44" s="392">
        <f t="shared" si="38"/>
        <v>0.31614937665420062</v>
      </c>
      <c r="AW44" s="395">
        <f t="shared" si="39"/>
        <v>170670240.98237479</v>
      </c>
      <c r="AX44" s="396">
        <f t="shared" si="10"/>
        <v>8957.6571134401293</v>
      </c>
      <c r="AY44" s="395">
        <f t="shared" si="40"/>
        <v>26</v>
      </c>
      <c r="AZ44" s="390">
        <v>114751242.5397224</v>
      </c>
      <c r="BA44" s="389">
        <f t="shared" si="11"/>
        <v>1961708.1426524073</v>
      </c>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row>
    <row r="45" spans="1:133" s="397" customFormat="1">
      <c r="A45" s="379">
        <v>38</v>
      </c>
      <c r="B45" s="380" t="s">
        <v>214</v>
      </c>
      <c r="C45" s="382">
        <f>'[4]Table 8   2-1-10 Membership'!U43</f>
        <v>3728</v>
      </c>
      <c r="D45" s="382">
        <v>2336</v>
      </c>
      <c r="E45" s="382">
        <f t="shared" si="1"/>
        <v>514</v>
      </c>
      <c r="F45" s="382">
        <v>981</v>
      </c>
      <c r="G45" s="382">
        <f t="shared" si="2"/>
        <v>59</v>
      </c>
      <c r="H45" s="382">
        <v>427</v>
      </c>
      <c r="I45" s="382">
        <f t="shared" si="12"/>
        <v>641</v>
      </c>
      <c r="J45" s="382">
        <v>164</v>
      </c>
      <c r="K45" s="382">
        <f t="shared" si="13"/>
        <v>98</v>
      </c>
      <c r="L45" s="381">
        <f t="shared" si="3"/>
        <v>3772</v>
      </c>
      <c r="M45" s="384">
        <f t="shared" si="4"/>
        <v>0.10059</v>
      </c>
      <c r="N45" s="381">
        <f t="shared" si="5"/>
        <v>375</v>
      </c>
      <c r="O45" s="381">
        <f t="shared" si="14"/>
        <v>1687</v>
      </c>
      <c r="P45" s="381">
        <f t="shared" si="6"/>
        <v>5415</v>
      </c>
      <c r="Q45" s="385">
        <f t="shared" si="15"/>
        <v>3855</v>
      </c>
      <c r="R45" s="385">
        <f t="shared" si="7"/>
        <v>20874825</v>
      </c>
      <c r="S45" s="385">
        <f>'Table 6 (Local Deduct Calc.)'!J46</f>
        <v>22702312</v>
      </c>
      <c r="T45" s="385">
        <f t="shared" si="16"/>
        <v>15656118.75</v>
      </c>
      <c r="U45" s="386">
        <f t="shared" si="17"/>
        <v>5218706.25</v>
      </c>
      <c r="V45" s="387">
        <f t="shared" si="41"/>
        <v>0.25</v>
      </c>
      <c r="W45" s="387">
        <f t="shared" si="18"/>
        <v>0.75</v>
      </c>
      <c r="X45" s="388">
        <f t="shared" si="19"/>
        <v>4199.6026689914161</v>
      </c>
      <c r="Y45" s="385">
        <f>'Table 7 Local Revenue'!AQ45</f>
        <v>36585331</v>
      </c>
      <c r="Z45" s="385">
        <f t="shared" si="20"/>
        <v>20929212.25</v>
      </c>
      <c r="AA45" s="389">
        <f t="shared" si="21"/>
        <v>0</v>
      </c>
      <c r="AB45" s="390">
        <f t="shared" si="22"/>
        <v>7097440.5000000009</v>
      </c>
      <c r="AC45" s="390">
        <f t="shared" si="23"/>
        <v>7097440.5000000009</v>
      </c>
      <c r="AD45" s="385">
        <f t="shared" si="24"/>
        <v>9155698.245000001</v>
      </c>
      <c r="AE45" s="391">
        <f t="shared" si="25"/>
        <v>0</v>
      </c>
      <c r="AF45" s="392">
        <f t="shared" si="26"/>
        <v>0</v>
      </c>
      <c r="AG45" s="391">
        <f t="shared" si="27"/>
        <v>5218706.25</v>
      </c>
      <c r="AH45" s="390">
        <f t="shared" si="28"/>
        <v>1400</v>
      </c>
      <c r="AI45" s="391">
        <f>'Table 4 Level 3'!O43</f>
        <v>3715663</v>
      </c>
      <c r="AJ45" s="390">
        <f t="shared" si="8"/>
        <v>996.6907188841202</v>
      </c>
      <c r="AK45" s="391">
        <f t="shared" si="29"/>
        <v>8934369.25</v>
      </c>
      <c r="AL45" s="390">
        <f t="shared" si="30"/>
        <v>2396.5582752145924</v>
      </c>
      <c r="AM45" s="393">
        <f>'Table 4 Level 3'!R43</f>
        <v>6809605</v>
      </c>
      <c r="AN45" s="394">
        <f t="shared" si="31"/>
        <v>1826.6107832618027</v>
      </c>
      <c r="AO45" s="391">
        <f t="shared" si="32"/>
        <v>12028311.25</v>
      </c>
      <c r="AP45" s="390">
        <f t="shared" si="33"/>
        <v>3226.4783395922746</v>
      </c>
      <c r="AQ45" s="392">
        <f t="shared" si="34"/>
        <v>0.34582128784591959</v>
      </c>
      <c r="AR45" s="395">
        <f t="shared" si="35"/>
        <v>66</v>
      </c>
      <c r="AS45" s="390">
        <f t="shared" si="36"/>
        <v>22753559.25</v>
      </c>
      <c r="AT45" s="390">
        <f t="shared" si="9"/>
        <v>6103.42</v>
      </c>
      <c r="AU45" s="395">
        <f t="shared" si="37"/>
        <v>3</v>
      </c>
      <c r="AV45" s="392">
        <f t="shared" si="38"/>
        <v>0.65417871215408041</v>
      </c>
      <c r="AW45" s="395">
        <f t="shared" si="39"/>
        <v>34781870.5</v>
      </c>
      <c r="AX45" s="396">
        <f t="shared" si="10"/>
        <v>9329.9008851931339</v>
      </c>
      <c r="AY45" s="395">
        <f t="shared" si="40"/>
        <v>14</v>
      </c>
      <c r="AZ45" s="390">
        <v>12251167.75</v>
      </c>
      <c r="BA45" s="389">
        <f t="shared" si="11"/>
        <v>-222856.5</v>
      </c>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row>
    <row r="46" spans="1:133" s="397" customFormat="1">
      <c r="A46" s="379">
        <v>39</v>
      </c>
      <c r="B46" s="380" t="s">
        <v>76</v>
      </c>
      <c r="C46" s="382">
        <f>'[4]Table 8   2-1-10 Membership'!U44+'[4]Table 8   2-1-10 Membership'!U169</f>
        <v>2817</v>
      </c>
      <c r="D46" s="382">
        <f>2085+291</f>
        <v>2376</v>
      </c>
      <c r="E46" s="382">
        <f t="shared" si="1"/>
        <v>523</v>
      </c>
      <c r="F46" s="382">
        <f>750.5+161.5</f>
        <v>912</v>
      </c>
      <c r="G46" s="382">
        <f t="shared" si="2"/>
        <v>55</v>
      </c>
      <c r="H46" s="382">
        <f>459+59</f>
        <v>518</v>
      </c>
      <c r="I46" s="382">
        <f t="shared" si="12"/>
        <v>777</v>
      </c>
      <c r="J46" s="382">
        <f>25+1</f>
        <v>26</v>
      </c>
      <c r="K46" s="382">
        <f t="shared" si="13"/>
        <v>16</v>
      </c>
      <c r="L46" s="381">
        <f t="shared" si="3"/>
        <v>4683</v>
      </c>
      <c r="M46" s="384">
        <f t="shared" si="4"/>
        <v>0.12488</v>
      </c>
      <c r="N46" s="381">
        <f t="shared" si="5"/>
        <v>352</v>
      </c>
      <c r="O46" s="381">
        <f t="shared" si="14"/>
        <v>1723</v>
      </c>
      <c r="P46" s="381">
        <f t="shared" si="6"/>
        <v>4540</v>
      </c>
      <c r="Q46" s="385">
        <f t="shared" si="15"/>
        <v>3855</v>
      </c>
      <c r="R46" s="385">
        <f t="shared" si="7"/>
        <v>17501700</v>
      </c>
      <c r="S46" s="385">
        <f>'Table 6 (Local Deduct Calc.)'!J47</f>
        <v>8541101</v>
      </c>
      <c r="T46" s="385">
        <f t="shared" si="16"/>
        <v>8541101</v>
      </c>
      <c r="U46" s="386">
        <f t="shared" si="17"/>
        <v>8960599</v>
      </c>
      <c r="V46" s="387">
        <f t="shared" si="41"/>
        <v>0.51200000000000001</v>
      </c>
      <c r="W46" s="387">
        <f t="shared" si="18"/>
        <v>0.48799999999999999</v>
      </c>
      <c r="X46" s="388">
        <f t="shared" si="19"/>
        <v>3031.9847355342563</v>
      </c>
      <c r="Y46" s="385">
        <f>'Table 7 Local Revenue'!AQ46</f>
        <v>12092907</v>
      </c>
      <c r="Z46" s="385">
        <f t="shared" si="20"/>
        <v>3551806</v>
      </c>
      <c r="AA46" s="389">
        <f t="shared" si="21"/>
        <v>0</v>
      </c>
      <c r="AB46" s="390">
        <f t="shared" si="22"/>
        <v>5950578</v>
      </c>
      <c r="AC46" s="390">
        <f t="shared" si="23"/>
        <v>3551806</v>
      </c>
      <c r="AD46" s="385">
        <f t="shared" si="24"/>
        <v>2981243.8841599999</v>
      </c>
      <c r="AE46" s="391">
        <f t="shared" si="25"/>
        <v>570562.1158400001</v>
      </c>
      <c r="AF46" s="392">
        <f t="shared" si="26"/>
        <v>0.16059999999999999</v>
      </c>
      <c r="AG46" s="391">
        <f t="shared" si="27"/>
        <v>9531161.1158399992</v>
      </c>
      <c r="AH46" s="390">
        <f t="shared" si="28"/>
        <v>3383</v>
      </c>
      <c r="AI46" s="391">
        <f>'Table 4 Level 3'!O44</f>
        <v>709491</v>
      </c>
      <c r="AJ46" s="390">
        <f t="shared" si="8"/>
        <v>251.8604898828541</v>
      </c>
      <c r="AK46" s="391">
        <f t="shared" si="29"/>
        <v>10240652.115839999</v>
      </c>
      <c r="AL46" s="390">
        <f t="shared" si="30"/>
        <v>3635.3042654739083</v>
      </c>
      <c r="AM46" s="393">
        <f>'Table 4 Level 3'!R44</f>
        <v>2887722.2827924602</v>
      </c>
      <c r="AN46" s="394">
        <f t="shared" si="31"/>
        <v>1025.105531697714</v>
      </c>
      <c r="AO46" s="391">
        <f t="shared" si="32"/>
        <v>12418883.398632459</v>
      </c>
      <c r="AP46" s="390">
        <f t="shared" si="33"/>
        <v>4408.5493072887675</v>
      </c>
      <c r="AQ46" s="392">
        <f t="shared" si="34"/>
        <v>0.50664937961142664</v>
      </c>
      <c r="AR46" s="395">
        <f t="shared" si="35"/>
        <v>53</v>
      </c>
      <c r="AS46" s="390">
        <f t="shared" si="36"/>
        <v>12092907</v>
      </c>
      <c r="AT46" s="390">
        <f t="shared" si="9"/>
        <v>4292.83</v>
      </c>
      <c r="AU46" s="395">
        <f t="shared" si="37"/>
        <v>16</v>
      </c>
      <c r="AV46" s="392">
        <f t="shared" si="38"/>
        <v>0.49335062038857336</v>
      </c>
      <c r="AW46" s="395">
        <f t="shared" si="39"/>
        <v>24511790.398632459</v>
      </c>
      <c r="AX46" s="396">
        <f t="shared" si="10"/>
        <v>8701.3810431780112</v>
      </c>
      <c r="AY46" s="395">
        <f t="shared" si="40"/>
        <v>36</v>
      </c>
      <c r="AZ46" s="390">
        <v>12508010.847299606</v>
      </c>
      <c r="BA46" s="389">
        <f t="shared" si="11"/>
        <v>-89127.448667146266</v>
      </c>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row>
    <row r="47" spans="1:133" s="416" customFormat="1">
      <c r="A47" s="398">
        <v>40</v>
      </c>
      <c r="B47" s="399" t="s">
        <v>215</v>
      </c>
      <c r="C47" s="401">
        <f>'[4]Table 8   2-1-10 Membership'!U45</f>
        <v>22762</v>
      </c>
      <c r="D47" s="401">
        <v>15275</v>
      </c>
      <c r="E47" s="401">
        <f t="shared" si="1"/>
        <v>3361</v>
      </c>
      <c r="F47" s="401">
        <v>5754.5</v>
      </c>
      <c r="G47" s="401">
        <f t="shared" si="2"/>
        <v>345</v>
      </c>
      <c r="H47" s="401">
        <v>2686</v>
      </c>
      <c r="I47" s="401">
        <f t="shared" si="12"/>
        <v>4029</v>
      </c>
      <c r="J47" s="401">
        <v>628</v>
      </c>
      <c r="K47" s="401">
        <f t="shared" si="13"/>
        <v>377</v>
      </c>
      <c r="L47" s="400">
        <f t="shared" si="3"/>
        <v>0</v>
      </c>
      <c r="M47" s="402">
        <f t="shared" si="4"/>
        <v>0</v>
      </c>
      <c r="N47" s="400">
        <f t="shared" si="5"/>
        <v>0</v>
      </c>
      <c r="O47" s="400">
        <f t="shared" si="14"/>
        <v>8112</v>
      </c>
      <c r="P47" s="381">
        <f t="shared" si="6"/>
        <v>30874</v>
      </c>
      <c r="Q47" s="403">
        <f t="shared" si="15"/>
        <v>3855</v>
      </c>
      <c r="R47" s="403">
        <f t="shared" si="7"/>
        <v>119019270</v>
      </c>
      <c r="S47" s="403">
        <f>'Table 6 (Local Deduct Calc.)'!J48</f>
        <v>31256670</v>
      </c>
      <c r="T47" s="403">
        <f t="shared" si="16"/>
        <v>31256670</v>
      </c>
      <c r="U47" s="404">
        <f t="shared" si="17"/>
        <v>87762600</v>
      </c>
      <c r="V47" s="405">
        <f t="shared" si="41"/>
        <v>0.73740000000000006</v>
      </c>
      <c r="W47" s="406">
        <f t="shared" si="18"/>
        <v>0.2626</v>
      </c>
      <c r="X47" s="407">
        <f t="shared" si="19"/>
        <v>1373.1952376768297</v>
      </c>
      <c r="Y47" s="403">
        <f>'Table 7 Local Revenue'!AQ47</f>
        <v>64736027</v>
      </c>
      <c r="Z47" s="403">
        <f t="shared" si="20"/>
        <v>33479357</v>
      </c>
      <c r="AA47" s="408">
        <f t="shared" si="21"/>
        <v>0</v>
      </c>
      <c r="AB47" s="409">
        <f t="shared" si="22"/>
        <v>40466551.800000004</v>
      </c>
      <c r="AC47" s="409">
        <f t="shared" si="23"/>
        <v>33479357</v>
      </c>
      <c r="AD47" s="403">
        <f t="shared" si="24"/>
        <v>15121688.134904001</v>
      </c>
      <c r="AE47" s="410">
        <f t="shared" si="25"/>
        <v>18357668.865095999</v>
      </c>
      <c r="AF47" s="411">
        <f t="shared" si="26"/>
        <v>0.54830000000000001</v>
      </c>
      <c r="AG47" s="410">
        <f t="shared" si="27"/>
        <v>106120268.865096</v>
      </c>
      <c r="AH47" s="409">
        <f t="shared" si="28"/>
        <v>4662</v>
      </c>
      <c r="AI47" s="410">
        <f>'Table 4 Level 3'!O45</f>
        <v>3109298</v>
      </c>
      <c r="AJ47" s="409">
        <f t="shared" si="8"/>
        <v>136.60038660926105</v>
      </c>
      <c r="AK47" s="410">
        <f t="shared" si="29"/>
        <v>109229566.865096</v>
      </c>
      <c r="AL47" s="409">
        <f t="shared" si="30"/>
        <v>4798.7684239124856</v>
      </c>
      <c r="AM47" s="412">
        <f>'Table 4 Level 3'!R45</f>
        <v>19048844</v>
      </c>
      <c r="AN47" s="413">
        <f t="shared" si="31"/>
        <v>836.87039803180744</v>
      </c>
      <c r="AO47" s="410">
        <f t="shared" si="32"/>
        <v>125169112.865096</v>
      </c>
      <c r="AP47" s="409">
        <f t="shared" si="33"/>
        <v>5499.0384353350319</v>
      </c>
      <c r="AQ47" s="411">
        <f t="shared" si="34"/>
        <v>0.6591138762964136</v>
      </c>
      <c r="AR47" s="414">
        <f t="shared" si="35"/>
        <v>34</v>
      </c>
      <c r="AS47" s="409">
        <f t="shared" si="36"/>
        <v>64736027</v>
      </c>
      <c r="AT47" s="409">
        <f t="shared" si="9"/>
        <v>2844.04</v>
      </c>
      <c r="AU47" s="414">
        <f t="shared" si="37"/>
        <v>45</v>
      </c>
      <c r="AV47" s="411">
        <f t="shared" si="38"/>
        <v>0.34088612370358645</v>
      </c>
      <c r="AW47" s="414">
        <f t="shared" si="39"/>
        <v>189905139.865096</v>
      </c>
      <c r="AX47" s="415">
        <f t="shared" si="10"/>
        <v>8343.0779309856789</v>
      </c>
      <c r="AY47" s="414">
        <f t="shared" si="40"/>
        <v>48</v>
      </c>
      <c r="AZ47" s="409">
        <v>122150863.99179199</v>
      </c>
      <c r="BA47" s="408">
        <f t="shared" si="11"/>
        <v>3018248.8733040094</v>
      </c>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row>
    <row r="48" spans="1:133" s="397" customFormat="1">
      <c r="A48" s="379">
        <v>41</v>
      </c>
      <c r="B48" s="380" t="s">
        <v>216</v>
      </c>
      <c r="C48" s="382">
        <f>'[4]Table 8   2-1-10 Membership'!U46</f>
        <v>1434</v>
      </c>
      <c r="D48" s="382">
        <v>1263</v>
      </c>
      <c r="E48" s="382">
        <f t="shared" si="1"/>
        <v>278</v>
      </c>
      <c r="F48" s="382">
        <v>610</v>
      </c>
      <c r="G48" s="382">
        <f t="shared" si="2"/>
        <v>37</v>
      </c>
      <c r="H48" s="382">
        <v>140</v>
      </c>
      <c r="I48" s="382">
        <f t="shared" si="12"/>
        <v>210</v>
      </c>
      <c r="J48" s="382">
        <v>5</v>
      </c>
      <c r="K48" s="382">
        <f t="shared" si="13"/>
        <v>3</v>
      </c>
      <c r="L48" s="381">
        <f t="shared" si="3"/>
        <v>6066</v>
      </c>
      <c r="M48" s="384">
        <f t="shared" si="4"/>
        <v>0.16175999999999999</v>
      </c>
      <c r="N48" s="381">
        <f t="shared" si="5"/>
        <v>232</v>
      </c>
      <c r="O48" s="381">
        <f t="shared" si="14"/>
        <v>760</v>
      </c>
      <c r="P48" s="417">
        <f t="shared" si="6"/>
        <v>2194</v>
      </c>
      <c r="Q48" s="385">
        <f t="shared" si="15"/>
        <v>3855</v>
      </c>
      <c r="R48" s="385">
        <f t="shared" si="7"/>
        <v>8457870</v>
      </c>
      <c r="S48" s="385">
        <f>'Table 6 (Local Deduct Calc.)'!J49</f>
        <v>5430417</v>
      </c>
      <c r="T48" s="385">
        <f t="shared" si="16"/>
        <v>5430417</v>
      </c>
      <c r="U48" s="386">
        <f t="shared" si="17"/>
        <v>3027453</v>
      </c>
      <c r="V48" s="387">
        <f t="shared" si="41"/>
        <v>0.3579</v>
      </c>
      <c r="W48" s="387">
        <f t="shared" si="18"/>
        <v>0.6421</v>
      </c>
      <c r="X48" s="388">
        <f t="shared" si="19"/>
        <v>3786.9016736401672</v>
      </c>
      <c r="Y48" s="385">
        <f>'Table 7 Local Revenue'!AQ48</f>
        <v>21464123</v>
      </c>
      <c r="Z48" s="385">
        <f t="shared" si="20"/>
        <v>16033706</v>
      </c>
      <c r="AA48" s="389">
        <f t="shared" si="21"/>
        <v>0</v>
      </c>
      <c r="AB48" s="390">
        <f t="shared" si="22"/>
        <v>2875675.8000000003</v>
      </c>
      <c r="AC48" s="390">
        <f t="shared" si="23"/>
        <v>2875675.8000000003</v>
      </c>
      <c r="AD48" s="385">
        <f t="shared" si="24"/>
        <v>3175930.8616296002</v>
      </c>
      <c r="AE48" s="391">
        <f t="shared" si="25"/>
        <v>0</v>
      </c>
      <c r="AF48" s="392">
        <f t="shared" si="26"/>
        <v>0</v>
      </c>
      <c r="AG48" s="391">
        <f t="shared" si="27"/>
        <v>3027453</v>
      </c>
      <c r="AH48" s="390">
        <f t="shared" si="28"/>
        <v>2111</v>
      </c>
      <c r="AI48" s="391">
        <f>'Table 4 Level 3'!O46</f>
        <v>195885</v>
      </c>
      <c r="AJ48" s="390">
        <f t="shared" si="8"/>
        <v>136.60041841004184</v>
      </c>
      <c r="AK48" s="391">
        <f t="shared" si="29"/>
        <v>3223338</v>
      </c>
      <c r="AL48" s="390">
        <f t="shared" si="30"/>
        <v>2247.7949790794978</v>
      </c>
      <c r="AM48" s="393">
        <f>'Table 4 Level 3'!R46</f>
        <v>1466724</v>
      </c>
      <c r="AN48" s="394">
        <f t="shared" si="31"/>
        <v>1022.8200836820083</v>
      </c>
      <c r="AO48" s="391">
        <f t="shared" si="32"/>
        <v>4494177</v>
      </c>
      <c r="AP48" s="390">
        <f t="shared" si="33"/>
        <v>3134.0146443514645</v>
      </c>
      <c r="AQ48" s="392">
        <f t="shared" si="34"/>
        <v>0.3511001775915692</v>
      </c>
      <c r="AR48" s="395">
        <f t="shared" si="35"/>
        <v>65</v>
      </c>
      <c r="AS48" s="390">
        <f t="shared" si="36"/>
        <v>8306092.7999999998</v>
      </c>
      <c r="AT48" s="390">
        <f t="shared" si="9"/>
        <v>5792.25</v>
      </c>
      <c r="AU48" s="395">
        <f t="shared" si="37"/>
        <v>5</v>
      </c>
      <c r="AV48" s="392">
        <f t="shared" si="38"/>
        <v>0.64889982240843069</v>
      </c>
      <c r="AW48" s="395">
        <f t="shared" si="39"/>
        <v>12800269.800000001</v>
      </c>
      <c r="AX48" s="396">
        <f t="shared" si="10"/>
        <v>8926.2690376569044</v>
      </c>
      <c r="AY48" s="395">
        <f t="shared" si="40"/>
        <v>28</v>
      </c>
      <c r="AZ48" s="390">
        <v>9542836.0727143995</v>
      </c>
      <c r="BA48" s="389">
        <f t="shared" si="11"/>
        <v>-5048659.0727143995</v>
      </c>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row>
    <row r="49" spans="1:133" s="397" customFormat="1">
      <c r="A49" s="379">
        <v>42</v>
      </c>
      <c r="B49" s="380" t="s">
        <v>217</v>
      </c>
      <c r="C49" s="382">
        <f>'[4]Table 8   2-1-10 Membership'!U47</f>
        <v>3298</v>
      </c>
      <c r="D49" s="382">
        <v>2648</v>
      </c>
      <c r="E49" s="382">
        <f t="shared" si="1"/>
        <v>583</v>
      </c>
      <c r="F49" s="382">
        <v>987</v>
      </c>
      <c r="G49" s="382">
        <f t="shared" si="2"/>
        <v>59</v>
      </c>
      <c r="H49" s="382">
        <v>411</v>
      </c>
      <c r="I49" s="382">
        <f t="shared" si="12"/>
        <v>617</v>
      </c>
      <c r="J49" s="382">
        <v>48</v>
      </c>
      <c r="K49" s="382">
        <f t="shared" si="13"/>
        <v>29</v>
      </c>
      <c r="L49" s="381">
        <f t="shared" si="3"/>
        <v>4202</v>
      </c>
      <c r="M49" s="384">
        <f t="shared" si="4"/>
        <v>0.11205</v>
      </c>
      <c r="N49" s="381">
        <f t="shared" si="5"/>
        <v>370</v>
      </c>
      <c r="O49" s="381">
        <f t="shared" si="14"/>
        <v>1658</v>
      </c>
      <c r="P49" s="381">
        <f t="shared" si="6"/>
        <v>4956</v>
      </c>
      <c r="Q49" s="385">
        <f t="shared" si="15"/>
        <v>3855</v>
      </c>
      <c r="R49" s="385">
        <f t="shared" si="7"/>
        <v>19105380</v>
      </c>
      <c r="S49" s="385">
        <f>'Table 6 (Local Deduct Calc.)'!J50</f>
        <v>4990794.5</v>
      </c>
      <c r="T49" s="385">
        <f t="shared" si="16"/>
        <v>4990794.5</v>
      </c>
      <c r="U49" s="386">
        <f t="shared" si="17"/>
        <v>14114585.5</v>
      </c>
      <c r="V49" s="387">
        <f t="shared" si="41"/>
        <v>0.73880000000000001</v>
      </c>
      <c r="W49" s="387">
        <f t="shared" si="18"/>
        <v>0.26119999999999999</v>
      </c>
      <c r="X49" s="388">
        <f t="shared" si="19"/>
        <v>1513.2791085506367</v>
      </c>
      <c r="Y49" s="385">
        <f>'Table 7 Local Revenue'!AQ49</f>
        <v>12254816.5</v>
      </c>
      <c r="Z49" s="385">
        <f t="shared" si="20"/>
        <v>7264022</v>
      </c>
      <c r="AA49" s="389">
        <f t="shared" si="21"/>
        <v>0</v>
      </c>
      <c r="AB49" s="390">
        <f t="shared" si="22"/>
        <v>6495829.2000000002</v>
      </c>
      <c r="AC49" s="390">
        <f t="shared" si="23"/>
        <v>6495829.2000000002</v>
      </c>
      <c r="AD49" s="385">
        <f t="shared" si="24"/>
        <v>2918342.2097088001</v>
      </c>
      <c r="AE49" s="391">
        <f t="shared" si="25"/>
        <v>3577486.9902912001</v>
      </c>
      <c r="AF49" s="392">
        <f t="shared" si="26"/>
        <v>0.55069999999999997</v>
      </c>
      <c r="AG49" s="391">
        <f t="shared" si="27"/>
        <v>17692072.490291201</v>
      </c>
      <c r="AH49" s="390">
        <f t="shared" si="28"/>
        <v>5364</v>
      </c>
      <c r="AI49" s="391">
        <f>'Table 4 Level 3'!O47</f>
        <v>450508</v>
      </c>
      <c r="AJ49" s="390">
        <f t="shared" si="8"/>
        <v>136.60036385688295</v>
      </c>
      <c r="AK49" s="391">
        <f t="shared" si="29"/>
        <v>18142580.490291201</v>
      </c>
      <c r="AL49" s="390">
        <f t="shared" si="30"/>
        <v>5501.0856550306853</v>
      </c>
      <c r="AM49" s="393">
        <f>'Table 4 Level 3'!R47</f>
        <v>2212563</v>
      </c>
      <c r="AN49" s="394">
        <f t="shared" si="31"/>
        <v>670.88023044269255</v>
      </c>
      <c r="AO49" s="391">
        <f t="shared" si="32"/>
        <v>19904635.490291201</v>
      </c>
      <c r="AP49" s="390">
        <f t="shared" si="33"/>
        <v>6035.3655216164952</v>
      </c>
      <c r="AQ49" s="392">
        <f t="shared" si="34"/>
        <v>0.63408209812900329</v>
      </c>
      <c r="AR49" s="395">
        <f t="shared" si="35"/>
        <v>39</v>
      </c>
      <c r="AS49" s="390">
        <f t="shared" si="36"/>
        <v>11486623.699999999</v>
      </c>
      <c r="AT49" s="390">
        <f t="shared" si="9"/>
        <v>3482.91</v>
      </c>
      <c r="AU49" s="395">
        <f t="shared" si="37"/>
        <v>26</v>
      </c>
      <c r="AV49" s="392">
        <f t="shared" si="38"/>
        <v>0.36591790187099671</v>
      </c>
      <c r="AW49" s="395">
        <f t="shared" si="39"/>
        <v>31391259.1902912</v>
      </c>
      <c r="AX49" s="396">
        <f t="shared" si="10"/>
        <v>9518.2714342908421</v>
      </c>
      <c r="AY49" s="395">
        <f t="shared" si="40"/>
        <v>8</v>
      </c>
      <c r="AZ49" s="390">
        <v>20622198.306752</v>
      </c>
      <c r="BA49" s="389">
        <f t="shared" si="11"/>
        <v>-717562.81646079943</v>
      </c>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row>
    <row r="50" spans="1:133" s="397" customFormat="1">
      <c r="A50" s="379">
        <v>43</v>
      </c>
      <c r="B50" s="380" t="s">
        <v>218</v>
      </c>
      <c r="C50" s="380">
        <f>'[4]Table 8   2-1-10 Membership'!U48</f>
        <v>3981</v>
      </c>
      <c r="D50" s="380">
        <v>2689</v>
      </c>
      <c r="E50" s="380">
        <f t="shared" si="1"/>
        <v>592</v>
      </c>
      <c r="F50" s="380">
        <v>1158</v>
      </c>
      <c r="G50" s="380">
        <f t="shared" si="2"/>
        <v>69</v>
      </c>
      <c r="H50" s="380">
        <v>541</v>
      </c>
      <c r="I50" s="380">
        <f t="shared" si="12"/>
        <v>812</v>
      </c>
      <c r="J50" s="380">
        <v>91</v>
      </c>
      <c r="K50" s="381">
        <f t="shared" si="13"/>
        <v>55</v>
      </c>
      <c r="L50" s="381">
        <f t="shared" si="3"/>
        <v>3519</v>
      </c>
      <c r="M50" s="384">
        <f t="shared" si="4"/>
        <v>9.3840000000000007E-2</v>
      </c>
      <c r="N50" s="381">
        <f t="shared" si="5"/>
        <v>374</v>
      </c>
      <c r="O50" s="381">
        <f t="shared" si="14"/>
        <v>1902</v>
      </c>
      <c r="P50" s="381">
        <f t="shared" si="6"/>
        <v>5883</v>
      </c>
      <c r="Q50" s="385">
        <f t="shared" si="15"/>
        <v>3855</v>
      </c>
      <c r="R50" s="385">
        <f t="shared" si="7"/>
        <v>22678965</v>
      </c>
      <c r="S50" s="385">
        <f>'Table 6 (Local Deduct Calc.)'!J51</f>
        <v>4541395</v>
      </c>
      <c r="T50" s="385">
        <f t="shared" si="16"/>
        <v>4541395</v>
      </c>
      <c r="U50" s="386">
        <f t="shared" si="17"/>
        <v>18137570</v>
      </c>
      <c r="V50" s="387">
        <f t="shared" si="41"/>
        <v>0.79979999999999996</v>
      </c>
      <c r="W50" s="387">
        <f t="shared" si="18"/>
        <v>0.20019999999999999</v>
      </c>
      <c r="X50" s="388">
        <f t="shared" si="19"/>
        <v>1140.7673951268525</v>
      </c>
      <c r="Y50" s="385">
        <f>'Table 7 Local Revenue'!AQ50</f>
        <v>13340763</v>
      </c>
      <c r="Z50" s="385">
        <f t="shared" si="20"/>
        <v>8799368</v>
      </c>
      <c r="AA50" s="389">
        <f t="shared" si="21"/>
        <v>0</v>
      </c>
      <c r="AB50" s="390">
        <f t="shared" si="22"/>
        <v>7710848.1000000006</v>
      </c>
      <c r="AC50" s="390">
        <f t="shared" si="23"/>
        <v>7710848.1000000006</v>
      </c>
      <c r="AD50" s="385">
        <f t="shared" si="24"/>
        <v>2655184.2781464001</v>
      </c>
      <c r="AE50" s="391">
        <f t="shared" si="25"/>
        <v>5055663.8218536004</v>
      </c>
      <c r="AF50" s="392">
        <f t="shared" si="26"/>
        <v>0.65569999999999995</v>
      </c>
      <c r="AG50" s="391">
        <f t="shared" si="27"/>
        <v>23193233.8218536</v>
      </c>
      <c r="AH50" s="390">
        <f t="shared" si="28"/>
        <v>5826</v>
      </c>
      <c r="AI50" s="391">
        <f>'Table 4 Level 3'!O48</f>
        <v>543806</v>
      </c>
      <c r="AJ50" s="390">
        <f t="shared" si="8"/>
        <v>136.60035167043458</v>
      </c>
      <c r="AK50" s="391">
        <f t="shared" si="29"/>
        <v>23737039.8218536</v>
      </c>
      <c r="AL50" s="390">
        <f t="shared" si="30"/>
        <v>5962.5822210132128</v>
      </c>
      <c r="AM50" s="393">
        <f>'Table 4 Level 3'!R48</f>
        <v>2831328</v>
      </c>
      <c r="AN50" s="394">
        <f t="shared" si="31"/>
        <v>711.21024868123584</v>
      </c>
      <c r="AO50" s="391">
        <f t="shared" si="32"/>
        <v>26024561.8218536</v>
      </c>
      <c r="AP50" s="390">
        <f t="shared" si="33"/>
        <v>6537.1921180240142</v>
      </c>
      <c r="AQ50" s="392">
        <f t="shared" si="34"/>
        <v>0.6799042363903065</v>
      </c>
      <c r="AR50" s="395">
        <f t="shared" si="35"/>
        <v>28</v>
      </c>
      <c r="AS50" s="390">
        <f t="shared" si="36"/>
        <v>12252243.1</v>
      </c>
      <c r="AT50" s="390">
        <f t="shared" si="9"/>
        <v>3077.68</v>
      </c>
      <c r="AU50" s="395">
        <f t="shared" si="37"/>
        <v>37</v>
      </c>
      <c r="AV50" s="392">
        <f t="shared" si="38"/>
        <v>0.32009576360969338</v>
      </c>
      <c r="AW50" s="395">
        <f t="shared" si="39"/>
        <v>38276804.921853602</v>
      </c>
      <c r="AX50" s="396">
        <f t="shared" si="10"/>
        <v>9614.8718718547098</v>
      </c>
      <c r="AY50" s="395">
        <f t="shared" si="40"/>
        <v>7</v>
      </c>
      <c r="AZ50" s="390">
        <v>25792931.604559999</v>
      </c>
      <c r="BA50" s="389">
        <f t="shared" si="11"/>
        <v>231630.21729360148</v>
      </c>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row>
    <row r="51" spans="1:133" s="397" customFormat="1">
      <c r="A51" s="379">
        <v>44</v>
      </c>
      <c r="B51" s="380" t="s">
        <v>219</v>
      </c>
      <c r="C51" s="380">
        <f>'[4]Table 8   2-1-10 Membership'!U49</f>
        <v>5439</v>
      </c>
      <c r="D51" s="380">
        <v>4116</v>
      </c>
      <c r="E51" s="380">
        <f t="shared" si="1"/>
        <v>906</v>
      </c>
      <c r="F51" s="380">
        <v>1578</v>
      </c>
      <c r="G51" s="380">
        <f t="shared" si="2"/>
        <v>95</v>
      </c>
      <c r="H51" s="380">
        <v>617</v>
      </c>
      <c r="I51" s="380">
        <f t="shared" si="12"/>
        <v>926</v>
      </c>
      <c r="J51" s="380">
        <v>128</v>
      </c>
      <c r="K51" s="381">
        <f t="shared" si="13"/>
        <v>77</v>
      </c>
      <c r="L51" s="381">
        <f t="shared" si="3"/>
        <v>2061</v>
      </c>
      <c r="M51" s="384">
        <f t="shared" si="4"/>
        <v>5.4960000000000002E-2</v>
      </c>
      <c r="N51" s="381">
        <f t="shared" si="5"/>
        <v>299</v>
      </c>
      <c r="O51" s="381">
        <f t="shared" si="14"/>
        <v>2303</v>
      </c>
      <c r="P51" s="381">
        <f t="shared" si="6"/>
        <v>7742</v>
      </c>
      <c r="Q51" s="385">
        <f t="shared" si="15"/>
        <v>3855</v>
      </c>
      <c r="R51" s="385">
        <f t="shared" si="7"/>
        <v>29845410</v>
      </c>
      <c r="S51" s="385">
        <f>'Table 6 (Local Deduct Calc.)'!J52</f>
        <v>10749987</v>
      </c>
      <c r="T51" s="385">
        <f t="shared" si="16"/>
        <v>10749987</v>
      </c>
      <c r="U51" s="386">
        <f t="shared" si="17"/>
        <v>19095423</v>
      </c>
      <c r="V51" s="387">
        <f t="shared" si="41"/>
        <v>0.63980000000000004</v>
      </c>
      <c r="W51" s="387">
        <f t="shared" si="18"/>
        <v>0.36020000000000002</v>
      </c>
      <c r="X51" s="388">
        <f t="shared" si="19"/>
        <v>1976.4638720353007</v>
      </c>
      <c r="Y51" s="385">
        <f>'Table 7 Local Revenue'!AQ51</f>
        <v>27331453</v>
      </c>
      <c r="Z51" s="385">
        <f t="shared" si="20"/>
        <v>16581466</v>
      </c>
      <c r="AA51" s="389">
        <f t="shared" si="21"/>
        <v>0</v>
      </c>
      <c r="AB51" s="390">
        <f t="shared" si="22"/>
        <v>10147439.4</v>
      </c>
      <c r="AC51" s="390">
        <f t="shared" si="23"/>
        <v>10147439.4</v>
      </c>
      <c r="AD51" s="385">
        <f t="shared" si="24"/>
        <v>6286785.1956336005</v>
      </c>
      <c r="AE51" s="391">
        <f t="shared" si="25"/>
        <v>3860654.2043663999</v>
      </c>
      <c r="AF51" s="392">
        <f t="shared" si="26"/>
        <v>0.3805</v>
      </c>
      <c r="AG51" s="391">
        <f t="shared" si="27"/>
        <v>22956077.204366401</v>
      </c>
      <c r="AH51" s="390">
        <f t="shared" si="28"/>
        <v>4221</v>
      </c>
      <c r="AI51" s="391">
        <f>'Table 4 Level 3'!O49</f>
        <v>742970</v>
      </c>
      <c r="AJ51" s="390">
        <f t="shared" si="8"/>
        <v>136.60047802904947</v>
      </c>
      <c r="AK51" s="391">
        <f t="shared" si="29"/>
        <v>23699047.204366401</v>
      </c>
      <c r="AL51" s="390">
        <f t="shared" si="30"/>
        <v>4357.2434646748297</v>
      </c>
      <c r="AM51" s="393">
        <f>'Table 4 Level 3'!R49</f>
        <v>4349897</v>
      </c>
      <c r="AN51" s="394">
        <f t="shared" si="31"/>
        <v>799.76043390329107</v>
      </c>
      <c r="AO51" s="391">
        <f t="shared" si="32"/>
        <v>27305974.204366401</v>
      </c>
      <c r="AP51" s="390">
        <f t="shared" si="33"/>
        <v>5020.4034205490716</v>
      </c>
      <c r="AQ51" s="392">
        <f t="shared" si="34"/>
        <v>0.56647402179117112</v>
      </c>
      <c r="AR51" s="395">
        <f t="shared" si="35"/>
        <v>50</v>
      </c>
      <c r="AS51" s="390">
        <f t="shared" si="36"/>
        <v>20897426.399999999</v>
      </c>
      <c r="AT51" s="390">
        <f t="shared" si="9"/>
        <v>3842.14</v>
      </c>
      <c r="AU51" s="395">
        <f t="shared" si="37"/>
        <v>20</v>
      </c>
      <c r="AV51" s="392">
        <f t="shared" si="38"/>
        <v>0.43352597820882893</v>
      </c>
      <c r="AW51" s="395">
        <f t="shared" si="39"/>
        <v>48203400.604366399</v>
      </c>
      <c r="AX51" s="396">
        <f t="shared" si="10"/>
        <v>8862.5483736654533</v>
      </c>
      <c r="AY51" s="395">
        <f t="shared" si="40"/>
        <v>31</v>
      </c>
      <c r="AZ51" s="390">
        <v>25461394.919638399</v>
      </c>
      <c r="BA51" s="389">
        <f t="shared" si="11"/>
        <v>1844579.2847280018</v>
      </c>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row>
    <row r="52" spans="1:133" s="416" customFormat="1">
      <c r="A52" s="398">
        <v>45</v>
      </c>
      <c r="B52" s="399" t="s">
        <v>220</v>
      </c>
      <c r="C52" s="399">
        <f>'[4]Table 8   2-1-10 Membership'!U50</f>
        <v>9430</v>
      </c>
      <c r="D52" s="399">
        <v>4734</v>
      </c>
      <c r="E52" s="399">
        <f t="shared" si="1"/>
        <v>1041</v>
      </c>
      <c r="F52" s="399">
        <v>3821.5</v>
      </c>
      <c r="G52" s="399">
        <f t="shared" si="2"/>
        <v>229</v>
      </c>
      <c r="H52" s="399">
        <v>929</v>
      </c>
      <c r="I52" s="399">
        <f t="shared" si="12"/>
        <v>1394</v>
      </c>
      <c r="J52" s="399">
        <v>538</v>
      </c>
      <c r="K52" s="400">
        <f t="shared" si="13"/>
        <v>323</v>
      </c>
      <c r="L52" s="400">
        <f t="shared" si="3"/>
        <v>0</v>
      </c>
      <c r="M52" s="402">
        <f t="shared" si="4"/>
        <v>0</v>
      </c>
      <c r="N52" s="400">
        <f t="shared" si="5"/>
        <v>0</v>
      </c>
      <c r="O52" s="400">
        <f t="shared" si="14"/>
        <v>2987</v>
      </c>
      <c r="P52" s="381">
        <f t="shared" si="6"/>
        <v>12417</v>
      </c>
      <c r="Q52" s="403">
        <f t="shared" si="15"/>
        <v>3855</v>
      </c>
      <c r="R52" s="403">
        <f t="shared" si="7"/>
        <v>47867535</v>
      </c>
      <c r="S52" s="403">
        <f>'Table 6 (Local Deduct Calc.)'!J53</f>
        <v>31463464</v>
      </c>
      <c r="T52" s="403">
        <f t="shared" si="16"/>
        <v>31463464</v>
      </c>
      <c r="U52" s="404">
        <f t="shared" si="17"/>
        <v>16404071</v>
      </c>
      <c r="V52" s="405">
        <f t="shared" si="41"/>
        <v>0.3427</v>
      </c>
      <c r="W52" s="406">
        <f t="shared" si="18"/>
        <v>0.6573</v>
      </c>
      <c r="X52" s="407">
        <f t="shared" si="19"/>
        <v>3336.528525980912</v>
      </c>
      <c r="Y52" s="403">
        <f>'Table 7 Local Revenue'!AQ52</f>
        <v>101909247</v>
      </c>
      <c r="Z52" s="403">
        <f t="shared" si="20"/>
        <v>70445783</v>
      </c>
      <c r="AA52" s="408">
        <f t="shared" si="21"/>
        <v>0</v>
      </c>
      <c r="AB52" s="409">
        <f t="shared" si="22"/>
        <v>16274961.9</v>
      </c>
      <c r="AC52" s="409">
        <f t="shared" si="23"/>
        <v>16274961.9</v>
      </c>
      <c r="AD52" s="403">
        <f t="shared" si="24"/>
        <v>18399755.8258164</v>
      </c>
      <c r="AE52" s="410">
        <f t="shared" si="25"/>
        <v>0</v>
      </c>
      <c r="AF52" s="411">
        <f t="shared" si="26"/>
        <v>0</v>
      </c>
      <c r="AG52" s="410">
        <f t="shared" si="27"/>
        <v>16404071</v>
      </c>
      <c r="AH52" s="409">
        <f t="shared" si="28"/>
        <v>1740</v>
      </c>
      <c r="AI52" s="410">
        <f>'Table 4 Level 3'!O50</f>
        <v>6515349</v>
      </c>
      <c r="AJ52" s="409">
        <f t="shared" si="8"/>
        <v>690.91717921527038</v>
      </c>
      <c r="AK52" s="410">
        <f t="shared" si="29"/>
        <v>22919420</v>
      </c>
      <c r="AL52" s="409">
        <f t="shared" si="30"/>
        <v>2430.4793213149524</v>
      </c>
      <c r="AM52" s="412">
        <f>'Table 4 Level 3'!R50</f>
        <v>13625192</v>
      </c>
      <c r="AN52" s="413">
        <f t="shared" si="31"/>
        <v>1444.8772004241782</v>
      </c>
      <c r="AO52" s="410">
        <f t="shared" si="32"/>
        <v>30029263</v>
      </c>
      <c r="AP52" s="409">
        <f t="shared" si="33"/>
        <v>3184.43934252386</v>
      </c>
      <c r="AQ52" s="411">
        <f t="shared" si="34"/>
        <v>0.38614061218424606</v>
      </c>
      <c r="AR52" s="414">
        <f t="shared" si="35"/>
        <v>63</v>
      </c>
      <c r="AS52" s="409">
        <f t="shared" si="36"/>
        <v>47738425.899999999</v>
      </c>
      <c r="AT52" s="409">
        <f t="shared" si="9"/>
        <v>5062.3999999999996</v>
      </c>
      <c r="AU52" s="414">
        <f t="shared" si="37"/>
        <v>8</v>
      </c>
      <c r="AV52" s="411">
        <f t="shared" si="38"/>
        <v>0.61385938781575389</v>
      </c>
      <c r="AW52" s="414">
        <f t="shared" si="39"/>
        <v>77767688.900000006</v>
      </c>
      <c r="AX52" s="415">
        <f t="shared" si="10"/>
        <v>8246.8386956521754</v>
      </c>
      <c r="AY52" s="414">
        <f t="shared" si="40"/>
        <v>54</v>
      </c>
      <c r="AZ52" s="409">
        <v>29389688</v>
      </c>
      <c r="BA52" s="408">
        <f t="shared" si="11"/>
        <v>639575</v>
      </c>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row>
    <row r="53" spans="1:133" s="397" customFormat="1">
      <c r="A53" s="379">
        <v>46</v>
      </c>
      <c r="B53" s="380" t="s">
        <v>78</v>
      </c>
      <c r="C53" s="382">
        <f>'[4]Table 8   2-1-10 Membership'!U51+'[4]Table 8   2-1-10 Membership'!U174</f>
        <v>1103</v>
      </c>
      <c r="D53" s="380">
        <f>706+354</f>
        <v>1060</v>
      </c>
      <c r="E53" s="380">
        <f t="shared" si="1"/>
        <v>233</v>
      </c>
      <c r="F53" s="380">
        <v>367</v>
      </c>
      <c r="G53" s="380">
        <f t="shared" si="2"/>
        <v>22</v>
      </c>
      <c r="H53" s="380">
        <f>118+57</f>
        <v>175</v>
      </c>
      <c r="I53" s="380">
        <f t="shared" si="12"/>
        <v>263</v>
      </c>
      <c r="J53" s="380">
        <f>17+17</f>
        <v>34</v>
      </c>
      <c r="K53" s="381">
        <f t="shared" si="13"/>
        <v>20</v>
      </c>
      <c r="L53" s="381">
        <f t="shared" si="3"/>
        <v>6397</v>
      </c>
      <c r="M53" s="384">
        <f t="shared" si="4"/>
        <v>0.17058999999999999</v>
      </c>
      <c r="N53" s="381">
        <f t="shared" si="5"/>
        <v>188</v>
      </c>
      <c r="O53" s="381">
        <f t="shared" si="14"/>
        <v>726</v>
      </c>
      <c r="P53" s="417">
        <f t="shared" si="6"/>
        <v>1829</v>
      </c>
      <c r="Q53" s="385">
        <f t="shared" si="15"/>
        <v>3855</v>
      </c>
      <c r="R53" s="385">
        <f t="shared" si="7"/>
        <v>7050795</v>
      </c>
      <c r="S53" s="385">
        <f>'Table 6 (Local Deduct Calc.)'!J54</f>
        <v>1217082</v>
      </c>
      <c r="T53" s="385">
        <f t="shared" si="16"/>
        <v>1217082</v>
      </c>
      <c r="U53" s="386">
        <f t="shared" si="17"/>
        <v>5833713</v>
      </c>
      <c r="V53" s="387">
        <f t="shared" si="41"/>
        <v>0.82740000000000002</v>
      </c>
      <c r="W53" s="387">
        <f t="shared" si="18"/>
        <v>0.1726</v>
      </c>
      <c r="X53" s="388">
        <f t="shared" si="19"/>
        <v>1103.4288304623753</v>
      </c>
      <c r="Y53" s="385">
        <f>'Table 7 Local Revenue'!AQ53</f>
        <v>1807793</v>
      </c>
      <c r="Z53" s="385">
        <f t="shared" si="20"/>
        <v>590711</v>
      </c>
      <c r="AA53" s="389">
        <f t="shared" si="21"/>
        <v>0</v>
      </c>
      <c r="AB53" s="390">
        <f t="shared" si="22"/>
        <v>2397270.3000000003</v>
      </c>
      <c r="AC53" s="390">
        <f t="shared" si="23"/>
        <v>590711</v>
      </c>
      <c r="AD53" s="385">
        <f t="shared" si="24"/>
        <v>175365.55599200001</v>
      </c>
      <c r="AE53" s="391">
        <f t="shared" si="25"/>
        <v>415345.44400799996</v>
      </c>
      <c r="AF53" s="392">
        <f t="shared" si="26"/>
        <v>0.70309999999999995</v>
      </c>
      <c r="AG53" s="391">
        <f t="shared" si="27"/>
        <v>6249058.4440080002</v>
      </c>
      <c r="AH53" s="390">
        <f t="shared" si="28"/>
        <v>5666</v>
      </c>
      <c r="AI53" s="391">
        <f>'Table 4 Level 3'!O51</f>
        <v>150670</v>
      </c>
      <c r="AJ53" s="390">
        <f t="shared" si="8"/>
        <v>136.60018132366272</v>
      </c>
      <c r="AK53" s="391">
        <f t="shared" si="29"/>
        <v>6399728.4440080002</v>
      </c>
      <c r="AL53" s="390">
        <f t="shared" si="30"/>
        <v>5802.1110099800544</v>
      </c>
      <c r="AM53" s="393">
        <f>'Table 4 Level 3'!R51</f>
        <v>953720.17999999993</v>
      </c>
      <c r="AN53" s="394">
        <f t="shared" si="31"/>
        <v>864.66018132366264</v>
      </c>
      <c r="AO53" s="391">
        <f t="shared" si="32"/>
        <v>7202778.6240079999</v>
      </c>
      <c r="AP53" s="390">
        <f t="shared" si="33"/>
        <v>6530.1710099800539</v>
      </c>
      <c r="AQ53" s="392">
        <f t="shared" si="34"/>
        <v>0.79936977636543394</v>
      </c>
      <c r="AR53" s="395">
        <f t="shared" si="35"/>
        <v>4</v>
      </c>
      <c r="AS53" s="390">
        <f t="shared" si="36"/>
        <v>1807793</v>
      </c>
      <c r="AT53" s="390">
        <f t="shared" si="9"/>
        <v>1638.98</v>
      </c>
      <c r="AU53" s="395">
        <f t="shared" si="37"/>
        <v>66</v>
      </c>
      <c r="AV53" s="392">
        <f t="shared" si="38"/>
        <v>0.20063022363456604</v>
      </c>
      <c r="AW53" s="395">
        <f t="shared" si="39"/>
        <v>9010571.6240079999</v>
      </c>
      <c r="AX53" s="396">
        <f t="shared" si="10"/>
        <v>8169.1492511405258</v>
      </c>
      <c r="AY53" s="395">
        <f t="shared" si="40"/>
        <v>57</v>
      </c>
      <c r="AZ53" s="390">
        <v>7201444.6279600002</v>
      </c>
      <c r="BA53" s="389">
        <f t="shared" si="11"/>
        <v>1333.9960479997098</v>
      </c>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row>
    <row r="54" spans="1:133" s="397" customFormat="1">
      <c r="A54" s="379">
        <v>47</v>
      </c>
      <c r="B54" s="380" t="s">
        <v>221</v>
      </c>
      <c r="C54" s="380">
        <f>'[4]Table 8   2-1-10 Membership'!U52</f>
        <v>3716</v>
      </c>
      <c r="D54" s="380">
        <v>2650</v>
      </c>
      <c r="E54" s="380">
        <f t="shared" si="1"/>
        <v>583</v>
      </c>
      <c r="F54" s="380">
        <v>1857</v>
      </c>
      <c r="G54" s="380">
        <f t="shared" si="2"/>
        <v>111</v>
      </c>
      <c r="H54" s="380">
        <v>517</v>
      </c>
      <c r="I54" s="380">
        <f t="shared" si="12"/>
        <v>776</v>
      </c>
      <c r="J54" s="380">
        <v>69</v>
      </c>
      <c r="K54" s="381">
        <f t="shared" si="13"/>
        <v>41</v>
      </c>
      <c r="L54" s="381">
        <f t="shared" si="3"/>
        <v>3784</v>
      </c>
      <c r="M54" s="384">
        <f t="shared" si="4"/>
        <v>0.10091</v>
      </c>
      <c r="N54" s="381">
        <f t="shared" si="5"/>
        <v>375</v>
      </c>
      <c r="O54" s="381">
        <f t="shared" si="14"/>
        <v>1886</v>
      </c>
      <c r="P54" s="381">
        <f t="shared" si="6"/>
        <v>5602</v>
      </c>
      <c r="Q54" s="385">
        <f t="shared" si="15"/>
        <v>3855</v>
      </c>
      <c r="R54" s="385">
        <f t="shared" si="7"/>
        <v>21595710</v>
      </c>
      <c r="S54" s="385">
        <f>'Table 6 (Local Deduct Calc.)'!J55</f>
        <v>11341014</v>
      </c>
      <c r="T54" s="385">
        <f t="shared" si="16"/>
        <v>11341014</v>
      </c>
      <c r="U54" s="386">
        <f t="shared" si="17"/>
        <v>10254696</v>
      </c>
      <c r="V54" s="387">
        <f t="shared" si="41"/>
        <v>0.4748</v>
      </c>
      <c r="W54" s="387">
        <f t="shared" si="18"/>
        <v>0.5252</v>
      </c>
      <c r="X54" s="388">
        <f t="shared" si="19"/>
        <v>3051.9413347685681</v>
      </c>
      <c r="Y54" s="385">
        <f>'Table 7 Local Revenue'!AQ54</f>
        <v>30416869</v>
      </c>
      <c r="Z54" s="385">
        <f t="shared" si="20"/>
        <v>19075855</v>
      </c>
      <c r="AA54" s="389">
        <f t="shared" si="21"/>
        <v>0</v>
      </c>
      <c r="AB54" s="390">
        <f t="shared" si="22"/>
        <v>7342541.4000000004</v>
      </c>
      <c r="AC54" s="390">
        <f t="shared" si="23"/>
        <v>7342541.4000000004</v>
      </c>
      <c r="AD54" s="385">
        <f t="shared" si="24"/>
        <v>6632840.7184416009</v>
      </c>
      <c r="AE54" s="391">
        <f t="shared" si="25"/>
        <v>709700.68155839946</v>
      </c>
      <c r="AF54" s="392">
        <f t="shared" si="26"/>
        <v>9.6699999999999994E-2</v>
      </c>
      <c r="AG54" s="391">
        <f t="shared" si="27"/>
        <v>10964396.6815584</v>
      </c>
      <c r="AH54" s="390">
        <f t="shared" si="28"/>
        <v>2951</v>
      </c>
      <c r="AI54" s="391">
        <f>'Table 4 Level 3'!O52</f>
        <v>1827441</v>
      </c>
      <c r="AJ54" s="390">
        <f t="shared" si="8"/>
        <v>491.77637244348762</v>
      </c>
      <c r="AK54" s="391">
        <f t="shared" si="29"/>
        <v>12791837.6815584</v>
      </c>
      <c r="AL54" s="390">
        <f t="shared" si="30"/>
        <v>3442.3675138747039</v>
      </c>
      <c r="AM54" s="393">
        <f>'Table 4 Level 3'!R52</f>
        <v>5211825</v>
      </c>
      <c r="AN54" s="394">
        <f t="shared" si="31"/>
        <v>1402.536329386437</v>
      </c>
      <c r="AO54" s="391">
        <f t="shared" si="32"/>
        <v>16176221.6815584</v>
      </c>
      <c r="AP54" s="390">
        <f t="shared" si="33"/>
        <v>4353.1274708176534</v>
      </c>
      <c r="AQ54" s="392">
        <f t="shared" si="34"/>
        <v>0.46403686528781574</v>
      </c>
      <c r="AR54" s="395">
        <f t="shared" si="35"/>
        <v>60</v>
      </c>
      <c r="AS54" s="390">
        <f t="shared" si="36"/>
        <v>18683555.399999999</v>
      </c>
      <c r="AT54" s="390">
        <f t="shared" si="9"/>
        <v>5027.87</v>
      </c>
      <c r="AU54" s="395">
        <f t="shared" si="37"/>
        <v>9</v>
      </c>
      <c r="AV54" s="392">
        <f t="shared" si="38"/>
        <v>0.53596313471218426</v>
      </c>
      <c r="AW54" s="395">
        <f t="shared" si="39"/>
        <v>34859777.081558399</v>
      </c>
      <c r="AX54" s="396">
        <f t="shared" si="10"/>
        <v>9380.9949089231432</v>
      </c>
      <c r="AY54" s="395">
        <f t="shared" si="40"/>
        <v>12</v>
      </c>
      <c r="AZ54" s="390">
        <v>17244445.120885201</v>
      </c>
      <c r="BA54" s="389">
        <f t="shared" si="11"/>
        <v>-1068223.4393268004</v>
      </c>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row>
    <row r="55" spans="1:133" s="397" customFormat="1">
      <c r="A55" s="379">
        <v>48</v>
      </c>
      <c r="B55" s="380" t="s">
        <v>222</v>
      </c>
      <c r="C55" s="380">
        <f>'[4]Table 8   2-1-10 Membership'!U53</f>
        <v>6033</v>
      </c>
      <c r="D55" s="380">
        <v>5324</v>
      </c>
      <c r="E55" s="380">
        <f t="shared" si="1"/>
        <v>1171</v>
      </c>
      <c r="F55" s="380">
        <v>1971.5</v>
      </c>
      <c r="G55" s="380">
        <f t="shared" si="2"/>
        <v>118</v>
      </c>
      <c r="H55" s="380">
        <v>803</v>
      </c>
      <c r="I55" s="380">
        <f t="shared" si="12"/>
        <v>1205</v>
      </c>
      <c r="J55" s="380">
        <v>126</v>
      </c>
      <c r="K55" s="381">
        <f t="shared" si="13"/>
        <v>76</v>
      </c>
      <c r="L55" s="381">
        <f t="shared" si="3"/>
        <v>1467</v>
      </c>
      <c r="M55" s="384">
        <f t="shared" si="4"/>
        <v>3.9120000000000002E-2</v>
      </c>
      <c r="N55" s="381">
        <f t="shared" si="5"/>
        <v>236</v>
      </c>
      <c r="O55" s="381">
        <f t="shared" si="14"/>
        <v>2806</v>
      </c>
      <c r="P55" s="381">
        <f t="shared" si="6"/>
        <v>8839</v>
      </c>
      <c r="Q55" s="385">
        <f t="shared" si="15"/>
        <v>3855</v>
      </c>
      <c r="R55" s="385">
        <f t="shared" si="7"/>
        <v>34074345</v>
      </c>
      <c r="S55" s="385">
        <f>'Table 6 (Local Deduct Calc.)'!J56</f>
        <v>16148397.5</v>
      </c>
      <c r="T55" s="385">
        <f t="shared" si="16"/>
        <v>16148397.5</v>
      </c>
      <c r="U55" s="386">
        <f t="shared" si="17"/>
        <v>17925947.5</v>
      </c>
      <c r="V55" s="387">
        <f t="shared" si="41"/>
        <v>0.52610000000000001</v>
      </c>
      <c r="W55" s="387">
        <f t="shared" si="18"/>
        <v>0.47389999999999999</v>
      </c>
      <c r="X55" s="388">
        <f t="shared" si="19"/>
        <v>2676.6778551301177</v>
      </c>
      <c r="Y55" s="385">
        <f>'Table 7 Local Revenue'!AQ55</f>
        <v>39687959.5</v>
      </c>
      <c r="Z55" s="385">
        <f t="shared" si="20"/>
        <v>23539562</v>
      </c>
      <c r="AA55" s="389">
        <f t="shared" si="21"/>
        <v>0</v>
      </c>
      <c r="AB55" s="390">
        <f t="shared" si="22"/>
        <v>11585277.300000001</v>
      </c>
      <c r="AC55" s="390">
        <f t="shared" si="23"/>
        <v>11585277.300000001</v>
      </c>
      <c r="AD55" s="385">
        <f t="shared" si="24"/>
        <v>9443252.2094484009</v>
      </c>
      <c r="AE55" s="391">
        <f t="shared" si="25"/>
        <v>2142025.0905515999</v>
      </c>
      <c r="AF55" s="392">
        <f t="shared" si="26"/>
        <v>0.18490000000000001</v>
      </c>
      <c r="AG55" s="391">
        <f t="shared" si="27"/>
        <v>20067972.5905516</v>
      </c>
      <c r="AH55" s="390">
        <f t="shared" si="28"/>
        <v>3326</v>
      </c>
      <c r="AI55" s="391">
        <f>'Table 4 Level 3'!O53</f>
        <v>824110</v>
      </c>
      <c r="AJ55" s="390">
        <f t="shared" si="8"/>
        <v>136.60036466103099</v>
      </c>
      <c r="AK55" s="391">
        <f t="shared" si="29"/>
        <v>20892082.5905516</v>
      </c>
      <c r="AL55" s="390">
        <f t="shared" si="30"/>
        <v>3462.9674441491134</v>
      </c>
      <c r="AM55" s="393">
        <f>'Table 4 Level 3'!R53</f>
        <v>6079275</v>
      </c>
      <c r="AN55" s="394">
        <f t="shared" si="31"/>
        <v>1007.6703132769767</v>
      </c>
      <c r="AO55" s="391">
        <f t="shared" si="32"/>
        <v>26147247.5905516</v>
      </c>
      <c r="AP55" s="390">
        <f t="shared" si="33"/>
        <v>4334.0373927650589</v>
      </c>
      <c r="AQ55" s="392">
        <f t="shared" si="34"/>
        <v>0.48527839596036138</v>
      </c>
      <c r="AR55" s="395">
        <f t="shared" si="35"/>
        <v>57</v>
      </c>
      <c r="AS55" s="390">
        <f t="shared" si="36"/>
        <v>27733674.800000001</v>
      </c>
      <c r="AT55" s="390">
        <f t="shared" si="9"/>
        <v>4597</v>
      </c>
      <c r="AU55" s="395">
        <f t="shared" si="37"/>
        <v>13</v>
      </c>
      <c r="AV55" s="392">
        <f t="shared" si="38"/>
        <v>0.51472160403963862</v>
      </c>
      <c r="AW55" s="395">
        <f t="shared" si="39"/>
        <v>53880922.390551597</v>
      </c>
      <c r="AX55" s="396">
        <f t="shared" si="10"/>
        <v>8931.0330499836891</v>
      </c>
      <c r="AY55" s="395">
        <f t="shared" si="40"/>
        <v>27</v>
      </c>
      <c r="AZ55" s="390">
        <v>27153132.874221601</v>
      </c>
      <c r="BA55" s="389">
        <f t="shared" si="11"/>
        <v>-1005885.2836700007</v>
      </c>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row>
    <row r="56" spans="1:133" s="397" customFormat="1">
      <c r="A56" s="379">
        <v>49</v>
      </c>
      <c r="B56" s="380" t="s">
        <v>223</v>
      </c>
      <c r="C56" s="380">
        <f>'[4]Table 8   2-1-10 Membership'!U54</f>
        <v>13951</v>
      </c>
      <c r="D56" s="380">
        <v>11577</v>
      </c>
      <c r="E56" s="380">
        <f t="shared" si="1"/>
        <v>2547</v>
      </c>
      <c r="F56" s="380">
        <v>4629</v>
      </c>
      <c r="G56" s="380">
        <f t="shared" si="2"/>
        <v>278</v>
      </c>
      <c r="H56" s="380">
        <v>1868</v>
      </c>
      <c r="I56" s="380">
        <f t="shared" si="12"/>
        <v>2802</v>
      </c>
      <c r="J56" s="380">
        <v>314</v>
      </c>
      <c r="K56" s="381">
        <f t="shared" si="13"/>
        <v>188</v>
      </c>
      <c r="L56" s="381">
        <f t="shared" si="3"/>
        <v>0</v>
      </c>
      <c r="M56" s="384">
        <f t="shared" si="4"/>
        <v>0</v>
      </c>
      <c r="N56" s="381">
        <f t="shared" si="5"/>
        <v>0</v>
      </c>
      <c r="O56" s="381">
        <f t="shared" si="14"/>
        <v>5815</v>
      </c>
      <c r="P56" s="381">
        <f t="shared" si="6"/>
        <v>19766</v>
      </c>
      <c r="Q56" s="385">
        <f t="shared" si="15"/>
        <v>3855</v>
      </c>
      <c r="R56" s="385">
        <f t="shared" si="7"/>
        <v>76197930</v>
      </c>
      <c r="S56" s="385">
        <f>'Table 6 (Local Deduct Calc.)'!J57</f>
        <v>17946261</v>
      </c>
      <c r="T56" s="385">
        <f t="shared" si="16"/>
        <v>17946261</v>
      </c>
      <c r="U56" s="386">
        <f t="shared" si="17"/>
        <v>58251669</v>
      </c>
      <c r="V56" s="387">
        <f t="shared" si="41"/>
        <v>0.76449999999999996</v>
      </c>
      <c r="W56" s="387">
        <f t="shared" si="18"/>
        <v>0.23549999999999999</v>
      </c>
      <c r="X56" s="388">
        <f t="shared" si="19"/>
        <v>1286.3781090961222</v>
      </c>
      <c r="Y56" s="385">
        <f>'Table 7 Local Revenue'!AQ56</f>
        <v>30689119</v>
      </c>
      <c r="Z56" s="385">
        <f t="shared" si="20"/>
        <v>12742858</v>
      </c>
      <c r="AA56" s="389">
        <f t="shared" si="21"/>
        <v>0</v>
      </c>
      <c r="AB56" s="390">
        <f t="shared" si="22"/>
        <v>25907296.200000003</v>
      </c>
      <c r="AC56" s="390">
        <f t="shared" si="23"/>
        <v>12742858</v>
      </c>
      <c r="AD56" s="385">
        <f t="shared" si="24"/>
        <v>5161622.0614799997</v>
      </c>
      <c r="AE56" s="391">
        <f t="shared" si="25"/>
        <v>7581235.9385200003</v>
      </c>
      <c r="AF56" s="392">
        <f t="shared" si="26"/>
        <v>0.59489999999999998</v>
      </c>
      <c r="AG56" s="391">
        <f t="shared" si="27"/>
        <v>65832904.938519999</v>
      </c>
      <c r="AH56" s="390">
        <f t="shared" si="28"/>
        <v>4719</v>
      </c>
      <c r="AI56" s="391">
        <f>'Table 4 Level 3'!O54</f>
        <v>2105712</v>
      </c>
      <c r="AJ56" s="390">
        <f t="shared" si="8"/>
        <v>150.93627696939288</v>
      </c>
      <c r="AK56" s="391">
        <f t="shared" si="29"/>
        <v>67938616.938519999</v>
      </c>
      <c r="AL56" s="390">
        <f t="shared" si="30"/>
        <v>4869.8026620686687</v>
      </c>
      <c r="AM56" s="393">
        <f>'Table 4 Level 3'!R54</f>
        <v>10119724</v>
      </c>
      <c r="AN56" s="394">
        <f t="shared" si="31"/>
        <v>725.37624543043512</v>
      </c>
      <c r="AO56" s="391">
        <f t="shared" si="32"/>
        <v>75952628.938519999</v>
      </c>
      <c r="AP56" s="390">
        <f t="shared" si="33"/>
        <v>5444.2426305297113</v>
      </c>
      <c r="AQ56" s="392">
        <f t="shared" si="34"/>
        <v>0.71222228073669069</v>
      </c>
      <c r="AR56" s="395">
        <f t="shared" si="35"/>
        <v>17</v>
      </c>
      <c r="AS56" s="390">
        <f t="shared" si="36"/>
        <v>30689119</v>
      </c>
      <c r="AT56" s="390">
        <f t="shared" si="9"/>
        <v>2199.7800000000002</v>
      </c>
      <c r="AU56" s="395">
        <f t="shared" si="37"/>
        <v>57</v>
      </c>
      <c r="AV56" s="392">
        <f t="shared" si="38"/>
        <v>0.28777771926330931</v>
      </c>
      <c r="AW56" s="395">
        <f t="shared" si="39"/>
        <v>106641747.93852</v>
      </c>
      <c r="AX56" s="396">
        <f t="shared" si="10"/>
        <v>7644.0217861457959</v>
      </c>
      <c r="AY56" s="395">
        <f t="shared" si="40"/>
        <v>66</v>
      </c>
      <c r="AZ56" s="390">
        <v>78479152.722708002</v>
      </c>
      <c r="BA56" s="389">
        <f t="shared" si="11"/>
        <v>-2526523.7841880023</v>
      </c>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row>
    <row r="57" spans="1:133" s="416" customFormat="1">
      <c r="A57" s="398">
        <v>50</v>
      </c>
      <c r="B57" s="399" t="s">
        <v>224</v>
      </c>
      <c r="C57" s="399">
        <f>'[4]Table 8   2-1-10 Membership'!U55</f>
        <v>8111</v>
      </c>
      <c r="D57" s="399">
        <v>5864</v>
      </c>
      <c r="E57" s="399">
        <f t="shared" si="1"/>
        <v>1290</v>
      </c>
      <c r="F57" s="399">
        <v>3495</v>
      </c>
      <c r="G57" s="399">
        <f t="shared" si="2"/>
        <v>210</v>
      </c>
      <c r="H57" s="399">
        <v>946</v>
      </c>
      <c r="I57" s="399">
        <f t="shared" si="12"/>
        <v>1419</v>
      </c>
      <c r="J57" s="399">
        <v>118</v>
      </c>
      <c r="K57" s="400">
        <f t="shared" si="13"/>
        <v>71</v>
      </c>
      <c r="L57" s="400">
        <f t="shared" si="3"/>
        <v>0</v>
      </c>
      <c r="M57" s="402">
        <f t="shared" si="4"/>
        <v>0</v>
      </c>
      <c r="N57" s="400">
        <f t="shared" si="5"/>
        <v>0</v>
      </c>
      <c r="O57" s="400">
        <f t="shared" si="14"/>
        <v>2990</v>
      </c>
      <c r="P57" s="381">
        <f t="shared" si="6"/>
        <v>11101</v>
      </c>
      <c r="Q57" s="403">
        <f t="shared" si="15"/>
        <v>3855</v>
      </c>
      <c r="R57" s="403">
        <f t="shared" si="7"/>
        <v>42794355</v>
      </c>
      <c r="S57" s="403">
        <f>'Table 6 (Local Deduct Calc.)'!J58</f>
        <v>9259686.5</v>
      </c>
      <c r="T57" s="403">
        <f t="shared" si="16"/>
        <v>9259686.5</v>
      </c>
      <c r="U57" s="404">
        <f t="shared" si="17"/>
        <v>33534668.5</v>
      </c>
      <c r="V57" s="405">
        <f t="shared" si="41"/>
        <v>0.78359999999999996</v>
      </c>
      <c r="W57" s="406">
        <f t="shared" si="18"/>
        <v>0.21640000000000001</v>
      </c>
      <c r="X57" s="407">
        <f t="shared" si="19"/>
        <v>1141.6208235729257</v>
      </c>
      <c r="Y57" s="403">
        <f>'Table 7 Local Revenue'!AQ57</f>
        <v>19088863.5</v>
      </c>
      <c r="Z57" s="403">
        <f t="shared" si="20"/>
        <v>9829177</v>
      </c>
      <c r="AA57" s="408">
        <f t="shared" si="21"/>
        <v>0</v>
      </c>
      <c r="AB57" s="409">
        <f t="shared" si="22"/>
        <v>14550080.700000001</v>
      </c>
      <c r="AC57" s="409">
        <f t="shared" si="23"/>
        <v>9829177</v>
      </c>
      <c r="AD57" s="403">
        <f t="shared" si="24"/>
        <v>3658498.3128159996</v>
      </c>
      <c r="AE57" s="410">
        <f t="shared" si="25"/>
        <v>6170678.6871840004</v>
      </c>
      <c r="AF57" s="411">
        <f t="shared" si="26"/>
        <v>0.62780000000000002</v>
      </c>
      <c r="AG57" s="410">
        <f t="shared" si="27"/>
        <v>39705347.187183999</v>
      </c>
      <c r="AH57" s="409">
        <f t="shared" si="28"/>
        <v>4895</v>
      </c>
      <c r="AI57" s="410">
        <f>'Table 4 Level 3'!O55</f>
        <v>1387966</v>
      </c>
      <c r="AJ57" s="409">
        <f t="shared" si="8"/>
        <v>171.12144001972629</v>
      </c>
      <c r="AK57" s="410">
        <f t="shared" si="29"/>
        <v>41093313.187183999</v>
      </c>
      <c r="AL57" s="409">
        <f t="shared" si="30"/>
        <v>5066.3682883964984</v>
      </c>
      <c r="AM57" s="412">
        <f>'Table 4 Level 3'!R55</f>
        <v>6534071</v>
      </c>
      <c r="AN57" s="413">
        <f t="shared" si="31"/>
        <v>805.58143262236467</v>
      </c>
      <c r="AO57" s="410">
        <f t="shared" si="32"/>
        <v>46239418.187183999</v>
      </c>
      <c r="AP57" s="409">
        <f t="shared" si="33"/>
        <v>5700.828280999137</v>
      </c>
      <c r="AQ57" s="411">
        <f t="shared" si="34"/>
        <v>0.70780092469897571</v>
      </c>
      <c r="AR57" s="414">
        <f t="shared" si="35"/>
        <v>18</v>
      </c>
      <c r="AS57" s="409">
        <f t="shared" si="36"/>
        <v>19088863.5</v>
      </c>
      <c r="AT57" s="409">
        <f t="shared" si="9"/>
        <v>2353.4499999999998</v>
      </c>
      <c r="AU57" s="414">
        <f t="shared" si="37"/>
        <v>54</v>
      </c>
      <c r="AV57" s="411">
        <f t="shared" si="38"/>
        <v>0.29219907530102424</v>
      </c>
      <c r="AW57" s="414">
        <f t="shared" si="39"/>
        <v>65328281.687183999</v>
      </c>
      <c r="AX57" s="415">
        <f t="shared" si="10"/>
        <v>8054.2820474890887</v>
      </c>
      <c r="AY57" s="414">
        <f t="shared" si="40"/>
        <v>60</v>
      </c>
      <c r="AZ57" s="409">
        <v>46334799.847199999</v>
      </c>
      <c r="BA57" s="408">
        <f t="shared" si="11"/>
        <v>-95381.660016000271</v>
      </c>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row>
    <row r="58" spans="1:133" s="397" customFormat="1">
      <c r="A58" s="379">
        <v>51</v>
      </c>
      <c r="B58" s="380" t="s">
        <v>225</v>
      </c>
      <c r="C58" s="380">
        <f>'[4]Table 8   2-1-10 Membership'!U56</f>
        <v>8991</v>
      </c>
      <c r="D58" s="380">
        <v>6440</v>
      </c>
      <c r="E58" s="380">
        <f t="shared" si="1"/>
        <v>1417</v>
      </c>
      <c r="F58" s="380">
        <v>3369.5</v>
      </c>
      <c r="G58" s="380">
        <f t="shared" si="2"/>
        <v>202</v>
      </c>
      <c r="H58" s="380">
        <v>1328</v>
      </c>
      <c r="I58" s="380">
        <f t="shared" si="12"/>
        <v>1992</v>
      </c>
      <c r="J58" s="380">
        <v>524</v>
      </c>
      <c r="K58" s="381">
        <f t="shared" si="13"/>
        <v>314</v>
      </c>
      <c r="L58" s="381">
        <f t="shared" si="3"/>
        <v>0</v>
      </c>
      <c r="M58" s="384">
        <f t="shared" si="4"/>
        <v>0</v>
      </c>
      <c r="N58" s="381">
        <f t="shared" si="5"/>
        <v>0</v>
      </c>
      <c r="O58" s="381">
        <f t="shared" si="14"/>
        <v>3925</v>
      </c>
      <c r="P58" s="417">
        <f t="shared" si="6"/>
        <v>12916</v>
      </c>
      <c r="Q58" s="385">
        <f t="shared" si="15"/>
        <v>3855</v>
      </c>
      <c r="R58" s="385">
        <f t="shared" si="7"/>
        <v>49791180</v>
      </c>
      <c r="S58" s="385">
        <f>'Table 6 (Local Deduct Calc.)'!J59</f>
        <v>17008845</v>
      </c>
      <c r="T58" s="385">
        <f t="shared" si="16"/>
        <v>17008845</v>
      </c>
      <c r="U58" s="386">
        <f t="shared" si="17"/>
        <v>32782335</v>
      </c>
      <c r="V58" s="387">
        <f t="shared" si="41"/>
        <v>0.65839999999999999</v>
      </c>
      <c r="W58" s="387">
        <f t="shared" si="18"/>
        <v>0.34160000000000001</v>
      </c>
      <c r="X58" s="388">
        <f t="shared" si="19"/>
        <v>1891.7634300967634</v>
      </c>
      <c r="Y58" s="385">
        <f>'Table 7 Local Revenue'!AQ58</f>
        <v>33485668</v>
      </c>
      <c r="Z58" s="385">
        <f t="shared" si="20"/>
        <v>16476823</v>
      </c>
      <c r="AA58" s="389">
        <f t="shared" si="21"/>
        <v>0</v>
      </c>
      <c r="AB58" s="390">
        <f t="shared" si="22"/>
        <v>16929001.200000003</v>
      </c>
      <c r="AC58" s="390">
        <f t="shared" si="23"/>
        <v>16476823</v>
      </c>
      <c r="AD58" s="385">
        <f t="shared" si="24"/>
        <v>9680990.3072959986</v>
      </c>
      <c r="AE58" s="391">
        <f t="shared" si="25"/>
        <v>6795832.6927040014</v>
      </c>
      <c r="AF58" s="392">
        <f t="shared" si="26"/>
        <v>0.41239999999999999</v>
      </c>
      <c r="AG58" s="391">
        <f t="shared" si="27"/>
        <v>39578167.692704</v>
      </c>
      <c r="AH58" s="390">
        <f t="shared" si="28"/>
        <v>4402</v>
      </c>
      <c r="AI58" s="391">
        <f>'Table 4 Level 3'!O56</f>
        <v>1228174</v>
      </c>
      <c r="AJ58" s="390">
        <f t="shared" si="8"/>
        <v>136.60037815593373</v>
      </c>
      <c r="AK58" s="391">
        <f t="shared" si="29"/>
        <v>40806341.692704</v>
      </c>
      <c r="AL58" s="390">
        <f t="shared" si="30"/>
        <v>4538.5765423983985</v>
      </c>
      <c r="AM58" s="393">
        <f>'Table 4 Level 3'!R56</f>
        <v>7581754</v>
      </c>
      <c r="AN58" s="394">
        <f t="shared" si="31"/>
        <v>843.26037148259365</v>
      </c>
      <c r="AO58" s="391">
        <f t="shared" si="32"/>
        <v>47159921.692704</v>
      </c>
      <c r="AP58" s="390">
        <f t="shared" si="33"/>
        <v>5245.2365357250583</v>
      </c>
      <c r="AQ58" s="392">
        <f t="shared" si="34"/>
        <v>0.58477992252774813</v>
      </c>
      <c r="AR58" s="395">
        <f t="shared" si="35"/>
        <v>46</v>
      </c>
      <c r="AS58" s="390">
        <f t="shared" si="36"/>
        <v>33485668</v>
      </c>
      <c r="AT58" s="390">
        <f t="shared" si="9"/>
        <v>3724.35</v>
      </c>
      <c r="AU58" s="395">
        <f t="shared" si="37"/>
        <v>23</v>
      </c>
      <c r="AV58" s="392">
        <f t="shared" si="38"/>
        <v>0.41522007747225204</v>
      </c>
      <c r="AW58" s="395">
        <f t="shared" si="39"/>
        <v>80645589.692703992</v>
      </c>
      <c r="AX58" s="396">
        <f t="shared" si="10"/>
        <v>8969.5906676347458</v>
      </c>
      <c r="AY58" s="395">
        <f t="shared" si="40"/>
        <v>25</v>
      </c>
      <c r="AZ58" s="390">
        <v>48133451.416393206</v>
      </c>
      <c r="BA58" s="389">
        <f t="shared" si="11"/>
        <v>-973529.72368920594</v>
      </c>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row>
    <row r="59" spans="1:133" s="397" customFormat="1">
      <c r="A59" s="379">
        <v>52</v>
      </c>
      <c r="B59" s="380" t="s">
        <v>226</v>
      </c>
      <c r="C59" s="380">
        <f>'[4]Table 8   2-1-10 Membership'!U57+1</f>
        <v>36178</v>
      </c>
      <c r="D59" s="380">
        <v>16248</v>
      </c>
      <c r="E59" s="380">
        <f t="shared" si="1"/>
        <v>3575</v>
      </c>
      <c r="F59" s="380">
        <v>16248.5</v>
      </c>
      <c r="G59" s="380">
        <f t="shared" si="2"/>
        <v>975</v>
      </c>
      <c r="H59" s="380">
        <v>6285</v>
      </c>
      <c r="I59" s="380">
        <f t="shared" si="12"/>
        <v>9428</v>
      </c>
      <c r="J59" s="380">
        <v>3375</v>
      </c>
      <c r="K59" s="381">
        <f t="shared" si="13"/>
        <v>2025</v>
      </c>
      <c r="L59" s="381">
        <f t="shared" si="3"/>
        <v>0</v>
      </c>
      <c r="M59" s="384">
        <f t="shared" si="4"/>
        <v>0</v>
      </c>
      <c r="N59" s="381">
        <f t="shared" si="5"/>
        <v>0</v>
      </c>
      <c r="O59" s="381">
        <f t="shared" si="14"/>
        <v>16003</v>
      </c>
      <c r="P59" s="381">
        <f t="shared" si="6"/>
        <v>52181</v>
      </c>
      <c r="Q59" s="385">
        <f t="shared" si="15"/>
        <v>3855</v>
      </c>
      <c r="R59" s="385">
        <f t="shared" si="7"/>
        <v>201157755</v>
      </c>
      <c r="S59" s="385">
        <f>'Table 6 (Local Deduct Calc.)'!J60</f>
        <v>59376466</v>
      </c>
      <c r="T59" s="385">
        <f t="shared" si="16"/>
        <v>59376466</v>
      </c>
      <c r="U59" s="386">
        <f t="shared" si="17"/>
        <v>141781289</v>
      </c>
      <c r="V59" s="387">
        <f t="shared" si="41"/>
        <v>0.70479999999999998</v>
      </c>
      <c r="W59" s="387">
        <f t="shared" si="18"/>
        <v>0.29520000000000002</v>
      </c>
      <c r="X59" s="388">
        <f t="shared" si="19"/>
        <v>1641.2313007905357</v>
      </c>
      <c r="Y59" s="385">
        <f>'Table 7 Local Revenue'!AQ59</f>
        <v>175550192</v>
      </c>
      <c r="Z59" s="385">
        <f t="shared" si="20"/>
        <v>116173726</v>
      </c>
      <c r="AA59" s="389">
        <f t="shared" si="21"/>
        <v>0</v>
      </c>
      <c r="AB59" s="390">
        <f t="shared" si="22"/>
        <v>68393636.700000003</v>
      </c>
      <c r="AC59" s="390">
        <f t="shared" si="23"/>
        <v>68393636.700000003</v>
      </c>
      <c r="AD59" s="385">
        <f t="shared" si="24"/>
        <v>34726458.672604799</v>
      </c>
      <c r="AE59" s="391">
        <f t="shared" si="25"/>
        <v>33667178.027395204</v>
      </c>
      <c r="AF59" s="392">
        <f t="shared" si="26"/>
        <v>0.49230000000000002</v>
      </c>
      <c r="AG59" s="391">
        <f t="shared" si="27"/>
        <v>175448467.02739519</v>
      </c>
      <c r="AH59" s="390">
        <f t="shared" si="28"/>
        <v>4850</v>
      </c>
      <c r="AI59" s="391">
        <f>'Table 4 Level 3'!O57</f>
        <v>4941929</v>
      </c>
      <c r="AJ59" s="390">
        <f t="shared" si="8"/>
        <v>136.60039250373154</v>
      </c>
      <c r="AK59" s="391">
        <f t="shared" si="29"/>
        <v>180390396.02739519</v>
      </c>
      <c r="AL59" s="390">
        <f t="shared" si="30"/>
        <v>4986.190392708143</v>
      </c>
      <c r="AM59" s="393">
        <f>'Table 4 Level 3'!R57</f>
        <v>28760439</v>
      </c>
      <c r="AN59" s="394">
        <f t="shared" si="31"/>
        <v>794.97039637348666</v>
      </c>
      <c r="AO59" s="391">
        <f t="shared" si="32"/>
        <v>204208906.02739519</v>
      </c>
      <c r="AP59" s="390">
        <f t="shared" si="33"/>
        <v>5644.5603965778982</v>
      </c>
      <c r="AQ59" s="392">
        <f t="shared" si="34"/>
        <v>0.61512595874723364</v>
      </c>
      <c r="AR59" s="395">
        <f t="shared" si="35"/>
        <v>43</v>
      </c>
      <c r="AS59" s="390">
        <f t="shared" si="36"/>
        <v>127770102.7</v>
      </c>
      <c r="AT59" s="390">
        <f t="shared" si="9"/>
        <v>3531.71</v>
      </c>
      <c r="AU59" s="395">
        <f t="shared" si="37"/>
        <v>24</v>
      </c>
      <c r="AV59" s="392">
        <f t="shared" si="38"/>
        <v>0.38487404125276642</v>
      </c>
      <c r="AW59" s="395">
        <f t="shared" si="39"/>
        <v>331979008.72739518</v>
      </c>
      <c r="AX59" s="396">
        <f t="shared" si="10"/>
        <v>9176.2675860300515</v>
      </c>
      <c r="AY59" s="395">
        <f t="shared" si="40"/>
        <v>18</v>
      </c>
      <c r="AZ59" s="390">
        <v>201846974.87300199</v>
      </c>
      <c r="BA59" s="389">
        <f t="shared" si="11"/>
        <v>2361931.1543931961</v>
      </c>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row>
    <row r="60" spans="1:133" s="397" customFormat="1">
      <c r="A60" s="379">
        <v>53</v>
      </c>
      <c r="B60" s="380" t="s">
        <v>227</v>
      </c>
      <c r="C60" s="380">
        <f>'[4]Table 8   2-1-10 Membership'!U58</f>
        <v>18645</v>
      </c>
      <c r="D60" s="380">
        <v>13731</v>
      </c>
      <c r="E60" s="380">
        <f t="shared" si="1"/>
        <v>3021</v>
      </c>
      <c r="F60" s="380">
        <v>5610.5</v>
      </c>
      <c r="G60" s="380">
        <f t="shared" si="2"/>
        <v>337</v>
      </c>
      <c r="H60" s="380">
        <v>2227</v>
      </c>
      <c r="I60" s="380">
        <f t="shared" si="12"/>
        <v>3341</v>
      </c>
      <c r="J60" s="380">
        <v>384</v>
      </c>
      <c r="K60" s="381">
        <f t="shared" si="13"/>
        <v>230</v>
      </c>
      <c r="L60" s="381">
        <f t="shared" si="3"/>
        <v>0</v>
      </c>
      <c r="M60" s="384">
        <f t="shared" si="4"/>
        <v>0</v>
      </c>
      <c r="N60" s="381">
        <f t="shared" si="5"/>
        <v>0</v>
      </c>
      <c r="O60" s="381">
        <f t="shared" si="14"/>
        <v>6929</v>
      </c>
      <c r="P60" s="381">
        <f t="shared" si="6"/>
        <v>25574</v>
      </c>
      <c r="Q60" s="385">
        <f t="shared" si="15"/>
        <v>3855</v>
      </c>
      <c r="R60" s="385">
        <f t="shared" si="7"/>
        <v>98587770</v>
      </c>
      <c r="S60" s="385">
        <f>'Table 6 (Local Deduct Calc.)'!J61</f>
        <v>21763965.5</v>
      </c>
      <c r="T60" s="385">
        <f t="shared" si="16"/>
        <v>21763965.5</v>
      </c>
      <c r="U60" s="386">
        <f t="shared" si="17"/>
        <v>76823804.5</v>
      </c>
      <c r="V60" s="387">
        <f t="shared" si="41"/>
        <v>0.7792</v>
      </c>
      <c r="W60" s="387">
        <f t="shared" si="18"/>
        <v>0.2208</v>
      </c>
      <c r="X60" s="388">
        <f t="shared" si="19"/>
        <v>1167.2816036470904</v>
      </c>
      <c r="Y60" s="385">
        <f>'Table 7 Local Revenue'!AQ60</f>
        <v>36348475.5</v>
      </c>
      <c r="Z60" s="385">
        <f t="shared" si="20"/>
        <v>14584510</v>
      </c>
      <c r="AA60" s="389">
        <f t="shared" si="21"/>
        <v>0</v>
      </c>
      <c r="AB60" s="390">
        <f t="shared" si="22"/>
        <v>33519841.800000001</v>
      </c>
      <c r="AC60" s="390">
        <f t="shared" si="23"/>
        <v>14584510</v>
      </c>
      <c r="AD60" s="385">
        <f t="shared" si="24"/>
        <v>5538846.8697600001</v>
      </c>
      <c r="AE60" s="391">
        <f t="shared" si="25"/>
        <v>9045663.1302400008</v>
      </c>
      <c r="AF60" s="392">
        <f t="shared" si="26"/>
        <v>0.62019999999999997</v>
      </c>
      <c r="AG60" s="391">
        <f t="shared" si="27"/>
        <v>85869467.630239993</v>
      </c>
      <c r="AH60" s="390">
        <f t="shared" si="28"/>
        <v>4605</v>
      </c>
      <c r="AI60" s="391">
        <f>'Table 4 Level 3'!O58</f>
        <v>2606914</v>
      </c>
      <c r="AJ60" s="390">
        <f t="shared" si="8"/>
        <v>139.81839635290962</v>
      </c>
      <c r="AK60" s="391">
        <f t="shared" si="29"/>
        <v>88476381.630239993</v>
      </c>
      <c r="AL60" s="390">
        <f t="shared" si="30"/>
        <v>4745.3141126436039</v>
      </c>
      <c r="AM60" s="393">
        <f>'Table 4 Level 3'!R58</f>
        <v>15467116</v>
      </c>
      <c r="AN60" s="394">
        <f t="shared" si="31"/>
        <v>829.55838026280503</v>
      </c>
      <c r="AO60" s="391">
        <f t="shared" si="32"/>
        <v>101336583.63023999</v>
      </c>
      <c r="AP60" s="390">
        <f t="shared" si="33"/>
        <v>5435.0540965534992</v>
      </c>
      <c r="AQ60" s="392">
        <f t="shared" si="34"/>
        <v>0.73600276072353643</v>
      </c>
      <c r="AR60" s="395">
        <f t="shared" si="35"/>
        <v>13</v>
      </c>
      <c r="AS60" s="390">
        <f t="shared" si="36"/>
        <v>36348475.5</v>
      </c>
      <c r="AT60" s="390">
        <f t="shared" si="9"/>
        <v>1949.5</v>
      </c>
      <c r="AU60" s="395">
        <f t="shared" si="37"/>
        <v>61</v>
      </c>
      <c r="AV60" s="392">
        <f t="shared" si="38"/>
        <v>0.26399723927646357</v>
      </c>
      <c r="AW60" s="395">
        <f t="shared" si="39"/>
        <v>137685059.13023999</v>
      </c>
      <c r="AX60" s="396">
        <f t="shared" si="10"/>
        <v>7384.5566709702325</v>
      </c>
      <c r="AY60" s="395">
        <f t="shared" si="40"/>
        <v>68</v>
      </c>
      <c r="AZ60" s="390">
        <v>102324608.58543999</v>
      </c>
      <c r="BA60" s="389">
        <f t="shared" si="11"/>
        <v>-988024.9552000016</v>
      </c>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row>
    <row r="61" spans="1:133" s="397" customFormat="1">
      <c r="A61" s="379">
        <v>54</v>
      </c>
      <c r="B61" s="380" t="s">
        <v>228</v>
      </c>
      <c r="C61" s="380">
        <f>'[4]Table 8   2-1-10 Membership'!U59</f>
        <v>675</v>
      </c>
      <c r="D61" s="380">
        <v>635</v>
      </c>
      <c r="E61" s="380">
        <f t="shared" si="1"/>
        <v>140</v>
      </c>
      <c r="F61" s="380">
        <v>138.5</v>
      </c>
      <c r="G61" s="380">
        <f t="shared" si="2"/>
        <v>8</v>
      </c>
      <c r="H61" s="380">
        <v>123</v>
      </c>
      <c r="I61" s="380">
        <f t="shared" si="12"/>
        <v>185</v>
      </c>
      <c r="J61" s="380">
        <v>30</v>
      </c>
      <c r="K61" s="381">
        <f t="shared" si="13"/>
        <v>18</v>
      </c>
      <c r="L61" s="381">
        <f t="shared" si="3"/>
        <v>6825</v>
      </c>
      <c r="M61" s="384">
        <f t="shared" si="4"/>
        <v>0.182</v>
      </c>
      <c r="N61" s="381">
        <f t="shared" si="5"/>
        <v>123</v>
      </c>
      <c r="O61" s="381">
        <f t="shared" si="14"/>
        <v>474</v>
      </c>
      <c r="P61" s="381">
        <f t="shared" si="6"/>
        <v>1149</v>
      </c>
      <c r="Q61" s="385">
        <f t="shared" si="15"/>
        <v>3855</v>
      </c>
      <c r="R61" s="385">
        <f t="shared" si="7"/>
        <v>4429395</v>
      </c>
      <c r="S61" s="385">
        <f>'Table 6 (Local Deduct Calc.)'!J62</f>
        <v>1222582.5</v>
      </c>
      <c r="T61" s="385">
        <f t="shared" si="16"/>
        <v>1222582.5</v>
      </c>
      <c r="U61" s="386">
        <f t="shared" si="17"/>
        <v>3206812.5</v>
      </c>
      <c r="V61" s="387">
        <f t="shared" si="41"/>
        <v>0.72399999999999998</v>
      </c>
      <c r="W61" s="387">
        <f t="shared" si="18"/>
        <v>0.27600000000000002</v>
      </c>
      <c r="X61" s="388">
        <f t="shared" si="19"/>
        <v>1811.2333333333333</v>
      </c>
      <c r="Y61" s="385">
        <f>'Table 7 Local Revenue'!AQ61</f>
        <v>2208019.5</v>
      </c>
      <c r="Z61" s="385">
        <f t="shared" si="20"/>
        <v>985437</v>
      </c>
      <c r="AA61" s="389">
        <f t="shared" si="21"/>
        <v>0</v>
      </c>
      <c r="AB61" s="390">
        <f t="shared" si="22"/>
        <v>1505994.3</v>
      </c>
      <c r="AC61" s="390">
        <f t="shared" si="23"/>
        <v>985437</v>
      </c>
      <c r="AD61" s="385">
        <f t="shared" si="24"/>
        <v>467806.65264000004</v>
      </c>
      <c r="AE61" s="391">
        <f t="shared" si="25"/>
        <v>517630.34735999996</v>
      </c>
      <c r="AF61" s="392">
        <f t="shared" si="26"/>
        <v>0.52529999999999999</v>
      </c>
      <c r="AG61" s="391">
        <f t="shared" si="27"/>
        <v>3724442.84736</v>
      </c>
      <c r="AH61" s="390">
        <f t="shared" si="28"/>
        <v>5518</v>
      </c>
      <c r="AI61" s="391">
        <f>'Table 4 Level 3'!O59</f>
        <v>92205</v>
      </c>
      <c r="AJ61" s="390">
        <f t="shared" si="8"/>
        <v>136.6</v>
      </c>
      <c r="AK61" s="391">
        <f t="shared" si="29"/>
        <v>3816647.84736</v>
      </c>
      <c r="AL61" s="390">
        <f t="shared" si="30"/>
        <v>5654.2931072000001</v>
      </c>
      <c r="AM61" s="393">
        <f>'Table 4 Level 3'!R59</f>
        <v>734434</v>
      </c>
      <c r="AN61" s="394">
        <f t="shared" si="31"/>
        <v>1088.0503703703703</v>
      </c>
      <c r="AO61" s="391">
        <f t="shared" si="32"/>
        <v>4458876.84736</v>
      </c>
      <c r="AP61" s="390">
        <f t="shared" si="33"/>
        <v>6605.7434775703705</v>
      </c>
      <c r="AQ61" s="392">
        <f t="shared" si="34"/>
        <v>0.66880848524451031</v>
      </c>
      <c r="AR61" s="395">
        <f t="shared" si="35"/>
        <v>31</v>
      </c>
      <c r="AS61" s="390">
        <f t="shared" si="36"/>
        <v>2208019.5</v>
      </c>
      <c r="AT61" s="390">
        <f t="shared" si="9"/>
        <v>3271.14</v>
      </c>
      <c r="AU61" s="395">
        <f t="shared" si="37"/>
        <v>32</v>
      </c>
      <c r="AV61" s="392">
        <f t="shared" si="38"/>
        <v>0.33119151475548975</v>
      </c>
      <c r="AW61" s="395">
        <f t="shared" si="39"/>
        <v>6666896.34736</v>
      </c>
      <c r="AX61" s="396">
        <f t="shared" si="10"/>
        <v>9876.8834775703708</v>
      </c>
      <c r="AY61" s="395">
        <f t="shared" si="40"/>
        <v>5</v>
      </c>
      <c r="AZ61" s="390">
        <v>4650009.3488839995</v>
      </c>
      <c r="BA61" s="389">
        <f t="shared" si="11"/>
        <v>-191132.5015239995</v>
      </c>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row>
    <row r="62" spans="1:133" s="416" customFormat="1">
      <c r="A62" s="398">
        <v>55</v>
      </c>
      <c r="B62" s="399" t="s">
        <v>229</v>
      </c>
      <c r="C62" s="399">
        <f>'[4]Table 8   2-1-10 Membership'!U60</f>
        <v>17632</v>
      </c>
      <c r="D62" s="399">
        <v>11633</v>
      </c>
      <c r="E62" s="399">
        <f t="shared" si="1"/>
        <v>2559</v>
      </c>
      <c r="F62" s="399">
        <v>5791</v>
      </c>
      <c r="G62" s="399">
        <f t="shared" si="2"/>
        <v>347</v>
      </c>
      <c r="H62" s="399">
        <v>2093</v>
      </c>
      <c r="I62" s="399">
        <f t="shared" si="12"/>
        <v>3140</v>
      </c>
      <c r="J62" s="399">
        <v>731</v>
      </c>
      <c r="K62" s="400">
        <f t="shared" si="13"/>
        <v>439</v>
      </c>
      <c r="L62" s="400">
        <f t="shared" si="3"/>
        <v>0</v>
      </c>
      <c r="M62" s="402">
        <f t="shared" si="4"/>
        <v>0</v>
      </c>
      <c r="N62" s="400">
        <f t="shared" si="5"/>
        <v>0</v>
      </c>
      <c r="O62" s="400">
        <f t="shared" si="14"/>
        <v>6485</v>
      </c>
      <c r="P62" s="381">
        <f t="shared" si="6"/>
        <v>24117</v>
      </c>
      <c r="Q62" s="403">
        <f t="shared" si="15"/>
        <v>3855</v>
      </c>
      <c r="R62" s="403">
        <f t="shared" si="7"/>
        <v>92971035</v>
      </c>
      <c r="S62" s="403">
        <f>'Table 6 (Local Deduct Calc.)'!J63</f>
        <v>31596732.5</v>
      </c>
      <c r="T62" s="403">
        <f t="shared" si="16"/>
        <v>31596732.5</v>
      </c>
      <c r="U62" s="404">
        <f t="shared" si="17"/>
        <v>61374302.5</v>
      </c>
      <c r="V62" s="405">
        <f t="shared" si="41"/>
        <v>0.66010000000000002</v>
      </c>
      <c r="W62" s="406">
        <f t="shared" si="18"/>
        <v>0.33989999999999998</v>
      </c>
      <c r="X62" s="407">
        <f t="shared" si="19"/>
        <v>1792.0106907894738</v>
      </c>
      <c r="Y62" s="403">
        <f>'Table 7 Local Revenue'!AQ62</f>
        <v>50747935.5</v>
      </c>
      <c r="Z62" s="403">
        <f t="shared" si="20"/>
        <v>19151203</v>
      </c>
      <c r="AA62" s="408">
        <f t="shared" si="21"/>
        <v>0</v>
      </c>
      <c r="AB62" s="409">
        <f t="shared" si="22"/>
        <v>31610151.900000002</v>
      </c>
      <c r="AC62" s="409">
        <f t="shared" si="23"/>
        <v>19151203</v>
      </c>
      <c r="AD62" s="403">
        <f t="shared" si="24"/>
        <v>11196329.507483998</v>
      </c>
      <c r="AE62" s="410">
        <f t="shared" si="25"/>
        <v>7954873.4925160017</v>
      </c>
      <c r="AF62" s="411">
        <f t="shared" si="26"/>
        <v>0.41539999999999999</v>
      </c>
      <c r="AG62" s="410">
        <f t="shared" si="27"/>
        <v>69329175.992515996</v>
      </c>
      <c r="AH62" s="409">
        <f t="shared" si="28"/>
        <v>3932</v>
      </c>
      <c r="AI62" s="410">
        <f>'Table 4 Level 3'!O60</f>
        <v>2408538</v>
      </c>
      <c r="AJ62" s="409">
        <f t="shared" si="8"/>
        <v>136.60038566243193</v>
      </c>
      <c r="AK62" s="410">
        <f t="shared" si="29"/>
        <v>71737713.992515996</v>
      </c>
      <c r="AL62" s="409">
        <f t="shared" si="30"/>
        <v>4068.6090059276312</v>
      </c>
      <c r="AM62" s="412">
        <f>'Table 4 Level 3'!R60</f>
        <v>16428446</v>
      </c>
      <c r="AN62" s="413">
        <f t="shared" si="31"/>
        <v>931.74035843920149</v>
      </c>
      <c r="AO62" s="410">
        <f t="shared" si="32"/>
        <v>85757621.992515996</v>
      </c>
      <c r="AP62" s="409">
        <f t="shared" si="33"/>
        <v>4863.7489787044005</v>
      </c>
      <c r="AQ62" s="411">
        <f t="shared" si="34"/>
        <v>0.62823538885746633</v>
      </c>
      <c r="AR62" s="414">
        <f t="shared" si="35"/>
        <v>41</v>
      </c>
      <c r="AS62" s="409">
        <f t="shared" si="36"/>
        <v>50747935.5</v>
      </c>
      <c r="AT62" s="409">
        <f t="shared" si="9"/>
        <v>2878.17</v>
      </c>
      <c r="AU62" s="414">
        <f t="shared" si="37"/>
        <v>42</v>
      </c>
      <c r="AV62" s="411">
        <f t="shared" si="38"/>
        <v>0.37176461114253384</v>
      </c>
      <c r="AW62" s="414">
        <f t="shared" si="39"/>
        <v>136505557.49251598</v>
      </c>
      <c r="AX62" s="415">
        <f t="shared" si="10"/>
        <v>7741.921364139972</v>
      </c>
      <c r="AY62" s="414">
        <f t="shared" si="40"/>
        <v>64</v>
      </c>
      <c r="AZ62" s="409">
        <v>85371968.323451996</v>
      </c>
      <c r="BA62" s="408">
        <f t="shared" si="11"/>
        <v>385653.66906400025</v>
      </c>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row>
    <row r="63" spans="1:133" s="397" customFormat="1">
      <c r="A63" s="379">
        <v>56</v>
      </c>
      <c r="B63" s="380" t="s">
        <v>230</v>
      </c>
      <c r="C63" s="380">
        <f>'[4]Table 8   2-1-10 Membership'!U61+292+1</f>
        <v>2821</v>
      </c>
      <c r="D63" s="380">
        <f>1973+184</f>
        <v>2157</v>
      </c>
      <c r="E63" s="380">
        <f t="shared" si="1"/>
        <v>475</v>
      </c>
      <c r="F63" s="380">
        <v>920.5</v>
      </c>
      <c r="G63" s="380">
        <f t="shared" si="2"/>
        <v>55</v>
      </c>
      <c r="H63" s="380">
        <f>372+42+1</f>
        <v>415</v>
      </c>
      <c r="I63" s="380">
        <f t="shared" si="12"/>
        <v>623</v>
      </c>
      <c r="J63" s="380">
        <f>18+2</f>
        <v>20</v>
      </c>
      <c r="K63" s="381">
        <f t="shared" si="13"/>
        <v>12</v>
      </c>
      <c r="L63" s="381">
        <f t="shared" si="3"/>
        <v>4679</v>
      </c>
      <c r="M63" s="384">
        <f t="shared" si="4"/>
        <v>0.12477000000000001</v>
      </c>
      <c r="N63" s="381">
        <f t="shared" si="5"/>
        <v>352</v>
      </c>
      <c r="O63" s="381">
        <f t="shared" si="14"/>
        <v>1517</v>
      </c>
      <c r="P63" s="417">
        <f t="shared" si="6"/>
        <v>4338</v>
      </c>
      <c r="Q63" s="385">
        <f t="shared" si="15"/>
        <v>3855</v>
      </c>
      <c r="R63" s="385">
        <f t="shared" si="7"/>
        <v>16722990</v>
      </c>
      <c r="S63" s="385">
        <f>'Table 6 (Local Deduct Calc.)'!J64</f>
        <v>4793787</v>
      </c>
      <c r="T63" s="385">
        <f t="shared" si="16"/>
        <v>4793787</v>
      </c>
      <c r="U63" s="386">
        <f t="shared" si="17"/>
        <v>11929203</v>
      </c>
      <c r="V63" s="387">
        <f t="shared" si="41"/>
        <v>0.71330000000000005</v>
      </c>
      <c r="W63" s="387">
        <f t="shared" si="18"/>
        <v>0.28670000000000001</v>
      </c>
      <c r="X63" s="388">
        <f t="shared" si="19"/>
        <v>1699.3218716767103</v>
      </c>
      <c r="Y63" s="385">
        <f>'Table 7 Local Revenue'!AQ63</f>
        <v>8841303</v>
      </c>
      <c r="Z63" s="385">
        <f t="shared" si="20"/>
        <v>4047516</v>
      </c>
      <c r="AA63" s="389">
        <f t="shared" si="21"/>
        <v>0</v>
      </c>
      <c r="AB63" s="390">
        <f t="shared" si="22"/>
        <v>5685816.6000000006</v>
      </c>
      <c r="AC63" s="390">
        <f t="shared" si="23"/>
        <v>4047516</v>
      </c>
      <c r="AD63" s="385">
        <f t="shared" si="24"/>
        <v>1995927.2799840001</v>
      </c>
      <c r="AE63" s="391">
        <f t="shared" si="25"/>
        <v>2051588.7200159999</v>
      </c>
      <c r="AF63" s="392">
        <f t="shared" si="26"/>
        <v>0.50690000000000002</v>
      </c>
      <c r="AG63" s="391">
        <f t="shared" si="27"/>
        <v>13980791.720015999</v>
      </c>
      <c r="AH63" s="390">
        <f t="shared" si="28"/>
        <v>4956</v>
      </c>
      <c r="AI63" s="391">
        <f>'Table 4 Level 3'!O61</f>
        <v>405350</v>
      </c>
      <c r="AJ63" s="390">
        <f t="shared" si="8"/>
        <v>143.69018078695498</v>
      </c>
      <c r="AK63" s="391">
        <f t="shared" si="29"/>
        <v>14386141.720015999</v>
      </c>
      <c r="AL63" s="390">
        <f t="shared" si="30"/>
        <v>5099.6603048621055</v>
      </c>
      <c r="AM63" s="393">
        <f>'Table 4 Level 3'!R61</f>
        <v>2139306</v>
      </c>
      <c r="AN63" s="394">
        <f t="shared" si="31"/>
        <v>758.35023041474653</v>
      </c>
      <c r="AO63" s="391">
        <f>AG63+AM63</f>
        <v>16120097.720015999</v>
      </c>
      <c r="AP63" s="390">
        <f t="shared" si="33"/>
        <v>5714.320354489897</v>
      </c>
      <c r="AQ63" s="392">
        <f t="shared" si="34"/>
        <v>0.64580100695589759</v>
      </c>
      <c r="AR63" s="395">
        <f t="shared" si="35"/>
        <v>36</v>
      </c>
      <c r="AS63" s="390">
        <f t="shared" si="36"/>
        <v>8841303</v>
      </c>
      <c r="AT63" s="390">
        <f t="shared" si="9"/>
        <v>3134.1</v>
      </c>
      <c r="AU63" s="395">
        <f t="shared" si="37"/>
        <v>35</v>
      </c>
      <c r="AV63" s="392">
        <f t="shared" si="38"/>
        <v>0.35419899304410241</v>
      </c>
      <c r="AW63" s="395">
        <f t="shared" si="39"/>
        <v>24961400.720015999</v>
      </c>
      <c r="AX63" s="396">
        <f t="shared" si="10"/>
        <v>8848.4228004310517</v>
      </c>
      <c r="AY63" s="395">
        <f t="shared" si="40"/>
        <v>32</v>
      </c>
      <c r="AZ63" s="390">
        <v>15157502.292416001</v>
      </c>
      <c r="BA63" s="389">
        <f t="shared" si="11"/>
        <v>962595.42759999819</v>
      </c>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row>
    <row r="64" spans="1:133" s="397" customFormat="1">
      <c r="A64" s="379">
        <v>57</v>
      </c>
      <c r="B64" s="380" t="s">
        <v>231</v>
      </c>
      <c r="C64" s="380">
        <f>'[4]Table 8   2-1-10 Membership'!U62</f>
        <v>8777</v>
      </c>
      <c r="D64" s="380">
        <v>5178</v>
      </c>
      <c r="E64" s="380">
        <f t="shared" si="1"/>
        <v>1139</v>
      </c>
      <c r="F64" s="380">
        <v>2873.5</v>
      </c>
      <c r="G64" s="380">
        <f t="shared" si="2"/>
        <v>172</v>
      </c>
      <c r="H64" s="380">
        <v>1084</v>
      </c>
      <c r="I64" s="380">
        <f t="shared" si="12"/>
        <v>1626</v>
      </c>
      <c r="J64" s="380">
        <v>162</v>
      </c>
      <c r="K64" s="381">
        <f t="shared" si="13"/>
        <v>97</v>
      </c>
      <c r="L64" s="381">
        <f t="shared" si="3"/>
        <v>0</v>
      </c>
      <c r="M64" s="384">
        <f t="shared" si="4"/>
        <v>0</v>
      </c>
      <c r="N64" s="381">
        <f t="shared" si="5"/>
        <v>0</v>
      </c>
      <c r="O64" s="381">
        <f t="shared" si="14"/>
        <v>3034</v>
      </c>
      <c r="P64" s="381">
        <f t="shared" si="6"/>
        <v>11811</v>
      </c>
      <c r="Q64" s="385">
        <f t="shared" si="15"/>
        <v>3855</v>
      </c>
      <c r="R64" s="385">
        <f t="shared" si="7"/>
        <v>45531405</v>
      </c>
      <c r="S64" s="385">
        <f>'Table 6 (Local Deduct Calc.)'!J65</f>
        <v>12546658</v>
      </c>
      <c r="T64" s="385">
        <f t="shared" si="16"/>
        <v>12546658</v>
      </c>
      <c r="U64" s="386">
        <f t="shared" si="17"/>
        <v>32984747</v>
      </c>
      <c r="V64" s="387">
        <f t="shared" si="41"/>
        <v>0.72440000000000004</v>
      </c>
      <c r="W64" s="387">
        <f t="shared" si="18"/>
        <v>0.27560000000000001</v>
      </c>
      <c r="X64" s="388">
        <f t="shared" si="19"/>
        <v>1429.492765181725</v>
      </c>
      <c r="Y64" s="385">
        <f>'Table 7 Local Revenue'!AQ64</f>
        <v>23032926</v>
      </c>
      <c r="Z64" s="385">
        <f t="shared" si="20"/>
        <v>10486268</v>
      </c>
      <c r="AA64" s="389">
        <f t="shared" si="21"/>
        <v>0</v>
      </c>
      <c r="AB64" s="390">
        <f t="shared" si="22"/>
        <v>15480677.700000001</v>
      </c>
      <c r="AC64" s="390">
        <f t="shared" si="23"/>
        <v>10486268</v>
      </c>
      <c r="AD64" s="385">
        <f t="shared" si="24"/>
        <v>4970826.5925759999</v>
      </c>
      <c r="AE64" s="391">
        <f t="shared" si="25"/>
        <v>5515441.4074240001</v>
      </c>
      <c r="AF64" s="392">
        <f t="shared" si="26"/>
        <v>0.52600000000000002</v>
      </c>
      <c r="AG64" s="391">
        <f t="shared" si="27"/>
        <v>38500188.407424003</v>
      </c>
      <c r="AH64" s="390">
        <f t="shared" si="28"/>
        <v>4386</v>
      </c>
      <c r="AI64" s="391">
        <f>'Table 4 Level 3'!O62</f>
        <v>1198942</v>
      </c>
      <c r="AJ64" s="390">
        <f t="shared" si="8"/>
        <v>136.60043294975503</v>
      </c>
      <c r="AK64" s="391">
        <f t="shared" si="29"/>
        <v>39699130.407424003</v>
      </c>
      <c r="AL64" s="390">
        <f t="shared" si="30"/>
        <v>4523.0865224363679</v>
      </c>
      <c r="AM64" s="393">
        <f>'Table 4 Level 3'!R62</f>
        <v>7909046</v>
      </c>
      <c r="AN64" s="394">
        <f t="shared" si="31"/>
        <v>901.11040218753556</v>
      </c>
      <c r="AO64" s="391">
        <f t="shared" si="32"/>
        <v>46409234.407424003</v>
      </c>
      <c r="AP64" s="390">
        <f t="shared" si="33"/>
        <v>5287.5964916741486</v>
      </c>
      <c r="AQ64" s="392">
        <f t="shared" si="34"/>
        <v>0.66831495643477168</v>
      </c>
      <c r="AR64" s="395">
        <f t="shared" si="35"/>
        <v>32</v>
      </c>
      <c r="AS64" s="390">
        <f t="shared" si="36"/>
        <v>23032926</v>
      </c>
      <c r="AT64" s="390">
        <f t="shared" si="9"/>
        <v>2624.24</v>
      </c>
      <c r="AU64" s="395">
        <f t="shared" si="37"/>
        <v>50</v>
      </c>
      <c r="AV64" s="392">
        <f t="shared" si="38"/>
        <v>0.33168504356522827</v>
      </c>
      <c r="AW64" s="395">
        <f t="shared" si="39"/>
        <v>69442160.407424003</v>
      </c>
      <c r="AX64" s="396">
        <f t="shared" si="10"/>
        <v>7911.8332468296685</v>
      </c>
      <c r="AY64" s="395">
        <f t="shared" si="40"/>
        <v>61</v>
      </c>
      <c r="AZ64" s="390">
        <v>40715177.305224001</v>
      </c>
      <c r="BA64" s="389">
        <f t="shared" si="11"/>
        <v>5694057.1022000015</v>
      </c>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row>
    <row r="65" spans="1:133" s="397" customFormat="1">
      <c r="A65" s="379">
        <v>58</v>
      </c>
      <c r="B65" s="380" t="s">
        <v>232</v>
      </c>
      <c r="C65" s="380">
        <f>'[4]Table 8   2-1-10 Membership'!U63</f>
        <v>9266</v>
      </c>
      <c r="D65" s="380">
        <v>5379</v>
      </c>
      <c r="E65" s="380">
        <f t="shared" si="1"/>
        <v>1183</v>
      </c>
      <c r="F65" s="380">
        <v>2757</v>
      </c>
      <c r="G65" s="380">
        <f t="shared" si="2"/>
        <v>165</v>
      </c>
      <c r="H65" s="380">
        <v>1151</v>
      </c>
      <c r="I65" s="380">
        <f t="shared" si="12"/>
        <v>1727</v>
      </c>
      <c r="J65" s="380">
        <v>246</v>
      </c>
      <c r="K65" s="381">
        <f t="shared" si="13"/>
        <v>148</v>
      </c>
      <c r="L65" s="381">
        <f t="shared" si="3"/>
        <v>0</v>
      </c>
      <c r="M65" s="384">
        <f t="shared" si="4"/>
        <v>0</v>
      </c>
      <c r="N65" s="381">
        <f t="shared" si="5"/>
        <v>0</v>
      </c>
      <c r="O65" s="381">
        <f t="shared" si="14"/>
        <v>3223</v>
      </c>
      <c r="P65" s="381">
        <f t="shared" si="6"/>
        <v>12489</v>
      </c>
      <c r="Q65" s="385">
        <f t="shared" si="15"/>
        <v>3855</v>
      </c>
      <c r="R65" s="385">
        <f t="shared" si="7"/>
        <v>48145095</v>
      </c>
      <c r="S65" s="385">
        <f>'Table 6 (Local Deduct Calc.)'!J66</f>
        <v>7362997.5</v>
      </c>
      <c r="T65" s="385">
        <f t="shared" si="16"/>
        <v>7362997.5</v>
      </c>
      <c r="U65" s="386">
        <f t="shared" si="17"/>
        <v>40782097.5</v>
      </c>
      <c r="V65" s="387">
        <f t="shared" si="41"/>
        <v>0.84709999999999996</v>
      </c>
      <c r="W65" s="387">
        <f t="shared" si="18"/>
        <v>0.15290000000000001</v>
      </c>
      <c r="X65" s="388">
        <f t="shared" si="19"/>
        <v>794.62524282322465</v>
      </c>
      <c r="Y65" s="385">
        <f>'Table 7 Local Revenue'!AQ65</f>
        <v>16728719.5</v>
      </c>
      <c r="Z65" s="385">
        <f t="shared" si="20"/>
        <v>9365722</v>
      </c>
      <c r="AA65" s="389">
        <f t="shared" si="21"/>
        <v>0</v>
      </c>
      <c r="AB65" s="390">
        <f t="shared" si="22"/>
        <v>16369332.300000001</v>
      </c>
      <c r="AC65" s="390">
        <f t="shared" si="23"/>
        <v>9365722</v>
      </c>
      <c r="AD65" s="385">
        <f t="shared" si="24"/>
        <v>2463072.4973360002</v>
      </c>
      <c r="AE65" s="391">
        <f t="shared" si="25"/>
        <v>6902649.5026639998</v>
      </c>
      <c r="AF65" s="392">
        <f t="shared" si="26"/>
        <v>0.73699999999999999</v>
      </c>
      <c r="AG65" s="391">
        <f t="shared" si="27"/>
        <v>47684747.002664</v>
      </c>
      <c r="AH65" s="390">
        <f t="shared" si="28"/>
        <v>5146</v>
      </c>
      <c r="AI65" s="391">
        <f>'Table 4 Level 3'!O63</f>
        <v>1285739</v>
      </c>
      <c r="AJ65" s="390">
        <f t="shared" si="8"/>
        <v>138.75879559680553</v>
      </c>
      <c r="AK65" s="391">
        <f t="shared" si="29"/>
        <v>48970486.002664</v>
      </c>
      <c r="AL65" s="390">
        <f t="shared" si="30"/>
        <v>5284.9650337431467</v>
      </c>
      <c r="AM65" s="393">
        <f>'Table 4 Level 3'!R63</f>
        <v>7744512</v>
      </c>
      <c r="AN65" s="394">
        <f t="shared" si="31"/>
        <v>835.79883444852146</v>
      </c>
      <c r="AO65" s="391">
        <f t="shared" si="32"/>
        <v>55429259.002664</v>
      </c>
      <c r="AP65" s="390">
        <f t="shared" si="33"/>
        <v>5982.0050725948631</v>
      </c>
      <c r="AQ65" s="392">
        <f t="shared" si="34"/>
        <v>0.7681653526452048</v>
      </c>
      <c r="AR65" s="395">
        <f t="shared" si="35"/>
        <v>7</v>
      </c>
      <c r="AS65" s="390">
        <f t="shared" si="36"/>
        <v>16728719.5</v>
      </c>
      <c r="AT65" s="390">
        <f t="shared" si="9"/>
        <v>1805.39</v>
      </c>
      <c r="AU65" s="395">
        <f t="shared" si="37"/>
        <v>63</v>
      </c>
      <c r="AV65" s="392">
        <f t="shared" si="38"/>
        <v>0.23183464735479517</v>
      </c>
      <c r="AW65" s="395">
        <f t="shared" si="39"/>
        <v>72157978.502664</v>
      </c>
      <c r="AX65" s="396">
        <f t="shared" si="10"/>
        <v>7787.3924565793222</v>
      </c>
      <c r="AY65" s="395">
        <f t="shared" si="40"/>
        <v>63</v>
      </c>
      <c r="AZ65" s="390">
        <v>56348488.109920003</v>
      </c>
      <c r="BA65" s="389">
        <f t="shared" si="11"/>
        <v>-919229.10725600272</v>
      </c>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row>
    <row r="66" spans="1:133" s="397" customFormat="1">
      <c r="A66" s="379">
        <v>59</v>
      </c>
      <c r="B66" s="380" t="s">
        <v>233</v>
      </c>
      <c r="C66" s="380">
        <f>'[4]Table 8   2-1-10 Membership'!U64</f>
        <v>5102</v>
      </c>
      <c r="D66" s="380">
        <v>4228</v>
      </c>
      <c r="E66" s="380">
        <f t="shared" si="1"/>
        <v>930</v>
      </c>
      <c r="F66" s="380">
        <v>1611.5</v>
      </c>
      <c r="G66" s="380">
        <f t="shared" si="2"/>
        <v>97</v>
      </c>
      <c r="H66" s="380">
        <v>848</v>
      </c>
      <c r="I66" s="380">
        <f t="shared" si="12"/>
        <v>1272</v>
      </c>
      <c r="J66" s="380">
        <v>248</v>
      </c>
      <c r="K66" s="381">
        <f t="shared" si="13"/>
        <v>149</v>
      </c>
      <c r="L66" s="381">
        <f t="shared" si="3"/>
        <v>2398</v>
      </c>
      <c r="M66" s="384">
        <f t="shared" si="4"/>
        <v>6.3950000000000007E-2</v>
      </c>
      <c r="N66" s="381">
        <f t="shared" si="5"/>
        <v>326</v>
      </c>
      <c r="O66" s="381">
        <f t="shared" si="14"/>
        <v>2774</v>
      </c>
      <c r="P66" s="381">
        <f t="shared" si="6"/>
        <v>7876</v>
      </c>
      <c r="Q66" s="385">
        <f t="shared" si="15"/>
        <v>3855</v>
      </c>
      <c r="R66" s="385">
        <f t="shared" si="7"/>
        <v>30361980</v>
      </c>
      <c r="S66" s="385">
        <f>'Table 6 (Local Deduct Calc.)'!J67</f>
        <v>3131024</v>
      </c>
      <c r="T66" s="385">
        <f t="shared" si="16"/>
        <v>3131024</v>
      </c>
      <c r="U66" s="386">
        <f t="shared" si="17"/>
        <v>27230956</v>
      </c>
      <c r="V66" s="387">
        <f t="shared" si="41"/>
        <v>0.89690000000000003</v>
      </c>
      <c r="W66" s="387">
        <f t="shared" si="18"/>
        <v>0.1031</v>
      </c>
      <c r="X66" s="388">
        <f t="shared" si="19"/>
        <v>613.68561348490789</v>
      </c>
      <c r="Y66" s="385">
        <f>'Table 7 Local Revenue'!AQ66</f>
        <v>7701440</v>
      </c>
      <c r="Z66" s="385">
        <f t="shared" si="20"/>
        <v>4570416</v>
      </c>
      <c r="AA66" s="389">
        <f t="shared" si="21"/>
        <v>0</v>
      </c>
      <c r="AB66" s="390">
        <f t="shared" si="22"/>
        <v>10323073.200000001</v>
      </c>
      <c r="AC66" s="390">
        <f t="shared" si="23"/>
        <v>4570416</v>
      </c>
      <c r="AD66" s="385">
        <f t="shared" si="24"/>
        <v>810481.01011199993</v>
      </c>
      <c r="AE66" s="391">
        <f t="shared" si="25"/>
        <v>3759934.9898880003</v>
      </c>
      <c r="AF66" s="392">
        <f t="shared" si="26"/>
        <v>0.82269999999999999</v>
      </c>
      <c r="AG66" s="391">
        <f t="shared" si="27"/>
        <v>30990890.989888001</v>
      </c>
      <c r="AH66" s="390">
        <f t="shared" si="28"/>
        <v>6074</v>
      </c>
      <c r="AI66" s="391">
        <f>'Table 4 Level 3'!O64</f>
        <v>696935</v>
      </c>
      <c r="AJ66" s="390">
        <f t="shared" si="8"/>
        <v>136.60035280282241</v>
      </c>
      <c r="AK66" s="391">
        <f t="shared" si="29"/>
        <v>31687825.989888001</v>
      </c>
      <c r="AL66" s="390">
        <f t="shared" si="30"/>
        <v>6210.8635809266952</v>
      </c>
      <c r="AM66" s="393">
        <f>'Table 4 Level 3'!R64</f>
        <v>4214866</v>
      </c>
      <c r="AN66" s="394">
        <f t="shared" si="31"/>
        <v>826.12034496275965</v>
      </c>
      <c r="AO66" s="391">
        <f t="shared" si="32"/>
        <v>35205756.989887998</v>
      </c>
      <c r="AP66" s="390">
        <f t="shared" si="33"/>
        <v>6900.3835730866322</v>
      </c>
      <c r="AQ66" s="392">
        <f t="shared" si="34"/>
        <v>0.82050936578739908</v>
      </c>
      <c r="AR66" s="395">
        <f t="shared" si="35"/>
        <v>1</v>
      </c>
      <c r="AS66" s="390">
        <f t="shared" si="36"/>
        <v>7701440</v>
      </c>
      <c r="AT66" s="390">
        <f t="shared" si="9"/>
        <v>1509.49</v>
      </c>
      <c r="AU66" s="395">
        <f t="shared" si="37"/>
        <v>68</v>
      </c>
      <c r="AV66" s="392">
        <f t="shared" si="38"/>
        <v>0.17949063421260097</v>
      </c>
      <c r="AW66" s="395">
        <f t="shared" si="39"/>
        <v>42907196.989887998</v>
      </c>
      <c r="AX66" s="396">
        <f t="shared" si="10"/>
        <v>8409.8778890411595</v>
      </c>
      <c r="AY66" s="395">
        <f t="shared" si="40"/>
        <v>46</v>
      </c>
      <c r="AZ66" s="390">
        <v>34937164.630815998</v>
      </c>
      <c r="BA66" s="389">
        <f t="shared" si="11"/>
        <v>268592.35907199979</v>
      </c>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row>
    <row r="67" spans="1:133" s="416" customFormat="1">
      <c r="A67" s="398">
        <v>60</v>
      </c>
      <c r="B67" s="399" t="s">
        <v>234</v>
      </c>
      <c r="C67" s="399">
        <f>'[4]Table 8   2-1-10 Membership'!U65</f>
        <v>6725</v>
      </c>
      <c r="D67" s="399">
        <v>4119</v>
      </c>
      <c r="E67" s="399">
        <f t="shared" si="1"/>
        <v>906</v>
      </c>
      <c r="F67" s="399">
        <v>2585.5</v>
      </c>
      <c r="G67" s="399">
        <f t="shared" si="2"/>
        <v>155</v>
      </c>
      <c r="H67" s="399">
        <v>740</v>
      </c>
      <c r="I67" s="399">
        <f t="shared" si="12"/>
        <v>1110</v>
      </c>
      <c r="J67" s="399">
        <v>303</v>
      </c>
      <c r="K67" s="400">
        <f t="shared" si="13"/>
        <v>182</v>
      </c>
      <c r="L67" s="400">
        <f t="shared" si="3"/>
        <v>775</v>
      </c>
      <c r="M67" s="402">
        <f t="shared" si="4"/>
        <v>2.0670000000000001E-2</v>
      </c>
      <c r="N67" s="400">
        <f t="shared" si="5"/>
        <v>139</v>
      </c>
      <c r="O67" s="400">
        <f t="shared" si="14"/>
        <v>2492</v>
      </c>
      <c r="P67" s="381">
        <f t="shared" si="6"/>
        <v>9217</v>
      </c>
      <c r="Q67" s="403">
        <f t="shared" si="15"/>
        <v>3855</v>
      </c>
      <c r="R67" s="403">
        <f t="shared" si="7"/>
        <v>35531535</v>
      </c>
      <c r="S67" s="403">
        <f>'Table 6 (Local Deduct Calc.)'!J68</f>
        <v>9771024</v>
      </c>
      <c r="T67" s="403">
        <f t="shared" si="16"/>
        <v>9771024</v>
      </c>
      <c r="U67" s="404">
        <f t="shared" si="17"/>
        <v>25760511</v>
      </c>
      <c r="V67" s="405">
        <f t="shared" si="41"/>
        <v>0.72499999999999998</v>
      </c>
      <c r="W67" s="406">
        <f t="shared" si="18"/>
        <v>0.27500000000000002</v>
      </c>
      <c r="X67" s="407">
        <f t="shared" si="19"/>
        <v>1452.9403717472119</v>
      </c>
      <c r="Y67" s="403">
        <f>'Table 7 Local Revenue'!AQ67</f>
        <v>24987167</v>
      </c>
      <c r="Z67" s="403">
        <f t="shared" si="20"/>
        <v>15216143</v>
      </c>
      <c r="AA67" s="408">
        <f t="shared" si="21"/>
        <v>0</v>
      </c>
      <c r="AB67" s="409">
        <f t="shared" si="22"/>
        <v>12080721.9</v>
      </c>
      <c r="AC67" s="409">
        <f t="shared" si="23"/>
        <v>12080721.9</v>
      </c>
      <c r="AD67" s="403">
        <f t="shared" si="24"/>
        <v>5714181.4587000003</v>
      </c>
      <c r="AE67" s="410">
        <f t="shared" si="25"/>
        <v>6366540.4413000001</v>
      </c>
      <c r="AF67" s="411">
        <f t="shared" si="26"/>
        <v>0.52700000000000002</v>
      </c>
      <c r="AG67" s="410">
        <f t="shared" si="27"/>
        <v>32127051.441300001</v>
      </c>
      <c r="AH67" s="409">
        <f t="shared" si="28"/>
        <v>4777</v>
      </c>
      <c r="AI67" s="410">
        <f>'Table 4 Level 3'!O65</f>
        <v>918638</v>
      </c>
      <c r="AJ67" s="409">
        <f t="shared" si="8"/>
        <v>136.60044609665428</v>
      </c>
      <c r="AK67" s="410">
        <f t="shared" si="29"/>
        <v>33045689.441300001</v>
      </c>
      <c r="AL67" s="409">
        <f t="shared" si="30"/>
        <v>4913.8571659925656</v>
      </c>
      <c r="AM67" s="412">
        <f>'Table 4 Level 3'!R65</f>
        <v>4913557</v>
      </c>
      <c r="AN67" s="413">
        <f t="shared" si="31"/>
        <v>730.64044609665427</v>
      </c>
      <c r="AO67" s="410">
        <f t="shared" si="32"/>
        <v>37040608.441300005</v>
      </c>
      <c r="AP67" s="409">
        <f t="shared" si="33"/>
        <v>5507.8971659925655</v>
      </c>
      <c r="AQ67" s="411">
        <f t="shared" si="34"/>
        <v>0.62895445182303034</v>
      </c>
      <c r="AR67" s="414">
        <f t="shared" si="35"/>
        <v>40</v>
      </c>
      <c r="AS67" s="409">
        <f t="shared" si="36"/>
        <v>21851745.899999999</v>
      </c>
      <c r="AT67" s="409">
        <f t="shared" si="9"/>
        <v>3249.33</v>
      </c>
      <c r="AU67" s="414">
        <f t="shared" si="37"/>
        <v>33</v>
      </c>
      <c r="AV67" s="411">
        <f t="shared" si="38"/>
        <v>0.37104554817696966</v>
      </c>
      <c r="AW67" s="414">
        <f t="shared" si="39"/>
        <v>58892354.341300003</v>
      </c>
      <c r="AX67" s="415">
        <f t="shared" si="10"/>
        <v>8757.2274113457261</v>
      </c>
      <c r="AY67" s="414">
        <f t="shared" si="40"/>
        <v>34</v>
      </c>
      <c r="AZ67" s="409">
        <v>37817086.5998872</v>
      </c>
      <c r="BA67" s="408">
        <f t="shared" si="11"/>
        <v>-776478.15858719498</v>
      </c>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row>
    <row r="68" spans="1:133" s="397" customFormat="1">
      <c r="A68" s="379">
        <v>61</v>
      </c>
      <c r="B68" s="380" t="s">
        <v>235</v>
      </c>
      <c r="C68" s="380">
        <f>'[4]Table 8   2-1-10 Membership'!U66</f>
        <v>3470</v>
      </c>
      <c r="D68" s="380">
        <v>2396</v>
      </c>
      <c r="E68" s="380">
        <f t="shared" si="1"/>
        <v>527</v>
      </c>
      <c r="F68" s="380">
        <v>1164</v>
      </c>
      <c r="G68" s="380">
        <f t="shared" si="2"/>
        <v>70</v>
      </c>
      <c r="H68" s="380">
        <v>359</v>
      </c>
      <c r="I68" s="380">
        <f t="shared" si="12"/>
        <v>539</v>
      </c>
      <c r="J68" s="380">
        <v>141</v>
      </c>
      <c r="K68" s="381">
        <f t="shared" si="13"/>
        <v>85</v>
      </c>
      <c r="L68" s="381">
        <f t="shared" si="3"/>
        <v>4030</v>
      </c>
      <c r="M68" s="384">
        <f t="shared" si="4"/>
        <v>0.10747</v>
      </c>
      <c r="N68" s="381">
        <f t="shared" si="5"/>
        <v>373</v>
      </c>
      <c r="O68" s="381">
        <f t="shared" si="14"/>
        <v>1594</v>
      </c>
      <c r="P68" s="417">
        <f t="shared" si="6"/>
        <v>5064</v>
      </c>
      <c r="Q68" s="385">
        <f t="shared" si="15"/>
        <v>3855</v>
      </c>
      <c r="R68" s="385">
        <f t="shared" si="7"/>
        <v>19521720</v>
      </c>
      <c r="S68" s="385">
        <f>'Table 6 (Local Deduct Calc.)'!J69</f>
        <v>10403599</v>
      </c>
      <c r="T68" s="385">
        <f t="shared" si="16"/>
        <v>10403599</v>
      </c>
      <c r="U68" s="386">
        <f t="shared" si="17"/>
        <v>9118121</v>
      </c>
      <c r="V68" s="387">
        <f t="shared" si="41"/>
        <v>0.46710000000000002</v>
      </c>
      <c r="W68" s="387">
        <f t="shared" si="18"/>
        <v>0.53290000000000004</v>
      </c>
      <c r="X68" s="388">
        <f t="shared" si="19"/>
        <v>2998.1553314121038</v>
      </c>
      <c r="Y68" s="385">
        <f>'Table 7 Local Revenue'!AQ68</f>
        <v>22566745</v>
      </c>
      <c r="Z68" s="385">
        <f t="shared" si="20"/>
        <v>12163146</v>
      </c>
      <c r="AA68" s="389">
        <f t="shared" si="21"/>
        <v>0</v>
      </c>
      <c r="AB68" s="390">
        <f t="shared" si="22"/>
        <v>6637384.8000000007</v>
      </c>
      <c r="AC68" s="390">
        <f t="shared" si="23"/>
        <v>6637384.8000000007</v>
      </c>
      <c r="AD68" s="385">
        <f t="shared" si="24"/>
        <v>6083747.259062401</v>
      </c>
      <c r="AE68" s="391">
        <f t="shared" si="25"/>
        <v>553637.54093759973</v>
      </c>
      <c r="AF68" s="392">
        <f t="shared" si="26"/>
        <v>8.3400000000000002E-2</v>
      </c>
      <c r="AG68" s="391">
        <f t="shared" si="27"/>
        <v>9671758.5409375988</v>
      </c>
      <c r="AH68" s="390">
        <f t="shared" si="28"/>
        <v>2787</v>
      </c>
      <c r="AI68" s="391">
        <f>'Table 4 Level 3'!O66</f>
        <v>474003</v>
      </c>
      <c r="AJ68" s="390">
        <f t="shared" si="8"/>
        <v>136.60028818443803</v>
      </c>
      <c r="AK68" s="391">
        <f t="shared" si="29"/>
        <v>10145761.540937599</v>
      </c>
      <c r="AL68" s="390">
        <f t="shared" si="30"/>
        <v>2923.8505881664551</v>
      </c>
      <c r="AM68" s="393">
        <f>'Table 4 Level 3'!R66</f>
        <v>3366977</v>
      </c>
      <c r="AN68" s="394">
        <f t="shared" si="31"/>
        <v>970.31037463976941</v>
      </c>
      <c r="AO68" s="391">
        <f t="shared" si="32"/>
        <v>13038735.540937599</v>
      </c>
      <c r="AP68" s="390">
        <f t="shared" si="33"/>
        <v>3757.5606746217863</v>
      </c>
      <c r="AQ68" s="392">
        <f t="shared" si="34"/>
        <v>0.43347264624215653</v>
      </c>
      <c r="AR68" s="395">
        <f t="shared" si="35"/>
        <v>62</v>
      </c>
      <c r="AS68" s="390">
        <f t="shared" si="36"/>
        <v>17040983.800000001</v>
      </c>
      <c r="AT68" s="390">
        <f t="shared" si="9"/>
        <v>4910.95</v>
      </c>
      <c r="AU68" s="395">
        <f t="shared" si="37"/>
        <v>10</v>
      </c>
      <c r="AV68" s="392">
        <f t="shared" si="38"/>
        <v>0.56652735375784347</v>
      </c>
      <c r="AW68" s="395">
        <f t="shared" si="39"/>
        <v>30079719.3409376</v>
      </c>
      <c r="AX68" s="396">
        <f t="shared" si="10"/>
        <v>8668.5070146794242</v>
      </c>
      <c r="AY68" s="395">
        <f t="shared" si="40"/>
        <v>38</v>
      </c>
      <c r="AZ68" s="390">
        <v>12510114.6796932</v>
      </c>
      <c r="BA68" s="389">
        <f t="shared" si="11"/>
        <v>528620.8612443991</v>
      </c>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row>
    <row r="69" spans="1:133" s="397" customFormat="1">
      <c r="A69" s="379">
        <v>62</v>
      </c>
      <c r="B69" s="380" t="s">
        <v>236</v>
      </c>
      <c r="C69" s="380">
        <f>'[4]Table 8   2-1-10 Membership'!U67</f>
        <v>2122</v>
      </c>
      <c r="D69" s="380">
        <v>1577</v>
      </c>
      <c r="E69" s="380">
        <f t="shared" si="1"/>
        <v>347</v>
      </c>
      <c r="F69" s="380">
        <v>720</v>
      </c>
      <c r="G69" s="380">
        <f t="shared" si="2"/>
        <v>43</v>
      </c>
      <c r="H69" s="380">
        <v>225</v>
      </c>
      <c r="I69" s="380">
        <f t="shared" si="12"/>
        <v>338</v>
      </c>
      <c r="J69" s="380">
        <v>26</v>
      </c>
      <c r="K69" s="381">
        <f t="shared" si="13"/>
        <v>16</v>
      </c>
      <c r="L69" s="381">
        <f t="shared" si="3"/>
        <v>5378</v>
      </c>
      <c r="M69" s="384">
        <f t="shared" si="4"/>
        <v>0.14341000000000001</v>
      </c>
      <c r="N69" s="381">
        <f t="shared" si="5"/>
        <v>304</v>
      </c>
      <c r="O69" s="381">
        <f t="shared" si="14"/>
        <v>1048</v>
      </c>
      <c r="P69" s="381">
        <f t="shared" si="6"/>
        <v>3170</v>
      </c>
      <c r="Q69" s="385">
        <f t="shared" si="15"/>
        <v>3855</v>
      </c>
      <c r="R69" s="385">
        <f t="shared" si="7"/>
        <v>12220350</v>
      </c>
      <c r="S69" s="385">
        <f>'Table 6 (Local Deduct Calc.)'!J70</f>
        <v>1998944.5</v>
      </c>
      <c r="T69" s="385">
        <f t="shared" si="16"/>
        <v>1998944.5</v>
      </c>
      <c r="U69" s="386">
        <f t="shared" si="17"/>
        <v>10221405.5</v>
      </c>
      <c r="V69" s="387">
        <f t="shared" si="41"/>
        <v>0.83640000000000003</v>
      </c>
      <c r="W69" s="387">
        <f t="shared" si="18"/>
        <v>0.1636</v>
      </c>
      <c r="X69" s="388">
        <f t="shared" si="19"/>
        <v>942.00966069745527</v>
      </c>
      <c r="Y69" s="385">
        <f>'Table 7 Local Revenue'!AQ69</f>
        <v>3620843.5</v>
      </c>
      <c r="Z69" s="385">
        <f t="shared" si="20"/>
        <v>1621899</v>
      </c>
      <c r="AA69" s="389">
        <f t="shared" si="21"/>
        <v>0</v>
      </c>
      <c r="AB69" s="390">
        <f t="shared" si="22"/>
        <v>4154919.0000000005</v>
      </c>
      <c r="AC69" s="390">
        <f t="shared" si="23"/>
        <v>1621899</v>
      </c>
      <c r="AD69" s="385">
        <f t="shared" si="24"/>
        <v>456389.40340799995</v>
      </c>
      <c r="AE69" s="391">
        <f t="shared" si="25"/>
        <v>1165509.596592</v>
      </c>
      <c r="AF69" s="392">
        <f t="shared" si="26"/>
        <v>0.71860000000000002</v>
      </c>
      <c r="AG69" s="391">
        <f t="shared" si="27"/>
        <v>11386915.096592</v>
      </c>
      <c r="AH69" s="390">
        <f t="shared" si="28"/>
        <v>5366</v>
      </c>
      <c r="AI69" s="391">
        <f>'Table 4 Level 3'!O67</f>
        <v>289866</v>
      </c>
      <c r="AJ69" s="390">
        <f t="shared" si="8"/>
        <v>136.60037700282751</v>
      </c>
      <c r="AK69" s="391">
        <f t="shared" si="29"/>
        <v>11676781.096592</v>
      </c>
      <c r="AL69" s="390">
        <f t="shared" si="30"/>
        <v>5502.7243622016967</v>
      </c>
      <c r="AM69" s="393">
        <f>'Table 4 Level 3'!R67</f>
        <v>1384988</v>
      </c>
      <c r="AN69" s="394">
        <f t="shared" si="31"/>
        <v>652.68049010367577</v>
      </c>
      <c r="AO69" s="391">
        <f t="shared" si="32"/>
        <v>12771903.096592</v>
      </c>
      <c r="AP69" s="390">
        <f t="shared" si="33"/>
        <v>6018.8044753025442</v>
      </c>
      <c r="AQ69" s="392">
        <f t="shared" si="34"/>
        <v>0.77911916842826312</v>
      </c>
      <c r="AR69" s="395">
        <f t="shared" si="35"/>
        <v>6</v>
      </c>
      <c r="AS69" s="390">
        <f t="shared" si="36"/>
        <v>3620843.5</v>
      </c>
      <c r="AT69" s="390">
        <f t="shared" si="9"/>
        <v>1706.34</v>
      </c>
      <c r="AU69" s="395">
        <f t="shared" si="37"/>
        <v>65</v>
      </c>
      <c r="AV69" s="392">
        <f t="shared" si="38"/>
        <v>0.22088083157173685</v>
      </c>
      <c r="AW69" s="395">
        <f t="shared" si="39"/>
        <v>16392746.596592</v>
      </c>
      <c r="AX69" s="396">
        <f t="shared" si="10"/>
        <v>7725.1397721922713</v>
      </c>
      <c r="AY69" s="395">
        <f t="shared" si="40"/>
        <v>65</v>
      </c>
      <c r="AZ69" s="390">
        <v>12711786.678719999</v>
      </c>
      <c r="BA69" s="389">
        <f t="shared" si="11"/>
        <v>60116.417872000486</v>
      </c>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row>
    <row r="70" spans="1:133" s="397" customFormat="1">
      <c r="A70" s="379">
        <v>63</v>
      </c>
      <c r="B70" s="380" t="s">
        <v>237</v>
      </c>
      <c r="C70" s="380">
        <f>'[4]Table 8   2-1-10 Membership'!U68</f>
        <v>2070</v>
      </c>
      <c r="D70" s="380">
        <v>1046</v>
      </c>
      <c r="E70" s="380">
        <f t="shared" si="1"/>
        <v>230</v>
      </c>
      <c r="F70" s="380">
        <v>649</v>
      </c>
      <c r="G70" s="380">
        <f t="shared" si="2"/>
        <v>39</v>
      </c>
      <c r="H70" s="380">
        <v>238</v>
      </c>
      <c r="I70" s="380">
        <f t="shared" si="12"/>
        <v>357</v>
      </c>
      <c r="J70" s="380">
        <v>106</v>
      </c>
      <c r="K70" s="381">
        <f t="shared" si="13"/>
        <v>64</v>
      </c>
      <c r="L70" s="381">
        <f t="shared" si="3"/>
        <v>5430</v>
      </c>
      <c r="M70" s="384">
        <f t="shared" si="4"/>
        <v>0.14480000000000001</v>
      </c>
      <c r="N70" s="381">
        <f t="shared" si="5"/>
        <v>300</v>
      </c>
      <c r="O70" s="381">
        <f t="shared" si="14"/>
        <v>990</v>
      </c>
      <c r="P70" s="381">
        <f t="shared" si="6"/>
        <v>3060</v>
      </c>
      <c r="Q70" s="385">
        <f t="shared" si="15"/>
        <v>3855</v>
      </c>
      <c r="R70" s="385">
        <f t="shared" si="7"/>
        <v>11796300</v>
      </c>
      <c r="S70" s="385">
        <f>'Table 6 (Local Deduct Calc.)'!J71</f>
        <v>6636270.5</v>
      </c>
      <c r="T70" s="385">
        <f t="shared" si="16"/>
        <v>6636270.5</v>
      </c>
      <c r="U70" s="386">
        <f t="shared" si="17"/>
        <v>5160029.5</v>
      </c>
      <c r="V70" s="387">
        <f t="shared" si="41"/>
        <v>0.43740000000000001</v>
      </c>
      <c r="W70" s="387">
        <f t="shared" si="18"/>
        <v>0.56259999999999999</v>
      </c>
      <c r="X70" s="388">
        <f t="shared" si="19"/>
        <v>3205.9277777777779</v>
      </c>
      <c r="Y70" s="385">
        <f>'Table 7 Local Revenue'!AQ70</f>
        <v>11067867.5</v>
      </c>
      <c r="Z70" s="385">
        <f t="shared" si="20"/>
        <v>4431597</v>
      </c>
      <c r="AA70" s="389">
        <f t="shared" si="21"/>
        <v>0</v>
      </c>
      <c r="AB70" s="390">
        <f t="shared" si="22"/>
        <v>4010742.0000000005</v>
      </c>
      <c r="AC70" s="390">
        <f t="shared" si="23"/>
        <v>4010742.0000000005</v>
      </c>
      <c r="AD70" s="385">
        <f t="shared" si="24"/>
        <v>3881082.7326240004</v>
      </c>
      <c r="AE70" s="391">
        <f t="shared" si="25"/>
        <v>129659.26737600006</v>
      </c>
      <c r="AF70" s="392">
        <f t="shared" si="26"/>
        <v>3.2300000000000002E-2</v>
      </c>
      <c r="AG70" s="391">
        <f t="shared" si="27"/>
        <v>5289688.7673760001</v>
      </c>
      <c r="AH70" s="390">
        <f t="shared" si="28"/>
        <v>2555</v>
      </c>
      <c r="AI70" s="391">
        <f>'Table 4 Level 3'!O68</f>
        <v>3501257</v>
      </c>
      <c r="AJ70" s="390">
        <f t="shared" si="8"/>
        <v>1691.428502415459</v>
      </c>
      <c r="AK70" s="391">
        <f t="shared" si="29"/>
        <v>8790945.7673760001</v>
      </c>
      <c r="AL70" s="390">
        <f t="shared" si="30"/>
        <v>4246.8337040463766</v>
      </c>
      <c r="AM70" s="393">
        <f>'Table 4 Level 3'!R68</f>
        <v>5067812</v>
      </c>
      <c r="AN70" s="394">
        <f t="shared" si="31"/>
        <v>2448.2183574879227</v>
      </c>
      <c r="AO70" s="391">
        <f t="shared" si="32"/>
        <v>10357500.767376</v>
      </c>
      <c r="AP70" s="390">
        <f t="shared" si="33"/>
        <v>5003.6235591188406</v>
      </c>
      <c r="AQ70" s="392">
        <f t="shared" si="34"/>
        <v>0.4931083446462512</v>
      </c>
      <c r="AR70" s="395">
        <f t="shared" si="35"/>
        <v>55</v>
      </c>
      <c r="AS70" s="390">
        <f t="shared" si="36"/>
        <v>10647012.5</v>
      </c>
      <c r="AT70" s="390">
        <f t="shared" si="9"/>
        <v>5143.4799999999996</v>
      </c>
      <c r="AU70" s="395">
        <f t="shared" si="37"/>
        <v>7</v>
      </c>
      <c r="AV70" s="392">
        <f t="shared" si="38"/>
        <v>0.50689165535374892</v>
      </c>
      <c r="AW70" s="395">
        <f t="shared" si="39"/>
        <v>21004513.267375998</v>
      </c>
      <c r="AX70" s="396">
        <f t="shared" si="10"/>
        <v>10147.107858635747</v>
      </c>
      <c r="AY70" s="395">
        <f t="shared" si="40"/>
        <v>4</v>
      </c>
      <c r="AZ70" s="390">
        <v>11125891.436716801</v>
      </c>
      <c r="BA70" s="389">
        <f t="shared" si="11"/>
        <v>-768390.66934080049</v>
      </c>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row>
    <row r="71" spans="1:133" s="397" customFormat="1">
      <c r="A71" s="379">
        <v>64</v>
      </c>
      <c r="B71" s="380" t="s">
        <v>238</v>
      </c>
      <c r="C71" s="380">
        <f>'[4]Table 8   2-1-10 Membership'!U69</f>
        <v>2429</v>
      </c>
      <c r="D71" s="380">
        <v>1767</v>
      </c>
      <c r="E71" s="380">
        <f t="shared" si="1"/>
        <v>389</v>
      </c>
      <c r="F71" s="380">
        <v>1148.5</v>
      </c>
      <c r="G71" s="380">
        <f t="shared" si="2"/>
        <v>69</v>
      </c>
      <c r="H71" s="380">
        <v>297</v>
      </c>
      <c r="I71" s="380">
        <f t="shared" si="12"/>
        <v>446</v>
      </c>
      <c r="J71" s="380">
        <v>92</v>
      </c>
      <c r="K71" s="381">
        <f t="shared" si="13"/>
        <v>55</v>
      </c>
      <c r="L71" s="381">
        <f t="shared" si="3"/>
        <v>5071</v>
      </c>
      <c r="M71" s="384">
        <f t="shared" si="4"/>
        <v>0.13522999999999999</v>
      </c>
      <c r="N71" s="381">
        <f t="shared" si="5"/>
        <v>328</v>
      </c>
      <c r="O71" s="381">
        <f t="shared" si="14"/>
        <v>1287</v>
      </c>
      <c r="P71" s="381">
        <f t="shared" si="6"/>
        <v>3716</v>
      </c>
      <c r="Q71" s="385">
        <f t="shared" si="15"/>
        <v>3855</v>
      </c>
      <c r="R71" s="385">
        <f t="shared" si="7"/>
        <v>14325180</v>
      </c>
      <c r="S71" s="385">
        <f>'Table 6 (Local Deduct Calc.)'!J72</f>
        <v>2768726</v>
      </c>
      <c r="T71" s="385">
        <f t="shared" si="16"/>
        <v>2768726</v>
      </c>
      <c r="U71" s="386">
        <f t="shared" si="17"/>
        <v>11556454</v>
      </c>
      <c r="V71" s="387">
        <f t="shared" si="41"/>
        <v>0.80669999999999997</v>
      </c>
      <c r="W71" s="387">
        <f t="shared" si="18"/>
        <v>0.1933</v>
      </c>
      <c r="X71" s="388">
        <f t="shared" si="19"/>
        <v>1139.8624948538493</v>
      </c>
      <c r="Y71" s="385">
        <f>'Table 7 Local Revenue'!AQ71</f>
        <v>6271761</v>
      </c>
      <c r="Z71" s="385">
        <f t="shared" si="20"/>
        <v>3503035</v>
      </c>
      <c r="AA71" s="389">
        <f t="shared" si="21"/>
        <v>0</v>
      </c>
      <c r="AB71" s="390">
        <f t="shared" si="22"/>
        <v>4870561.2</v>
      </c>
      <c r="AC71" s="390">
        <f t="shared" si="23"/>
        <v>3503035</v>
      </c>
      <c r="AD71" s="385">
        <f t="shared" si="24"/>
        <v>1164675.0646599999</v>
      </c>
      <c r="AE71" s="391">
        <f t="shared" si="25"/>
        <v>2338359.9353400003</v>
      </c>
      <c r="AF71" s="392">
        <f t="shared" si="26"/>
        <v>0.66749999999999998</v>
      </c>
      <c r="AG71" s="391">
        <f t="shared" si="27"/>
        <v>13894813.93534</v>
      </c>
      <c r="AH71" s="390">
        <f t="shared" si="28"/>
        <v>5720</v>
      </c>
      <c r="AI71" s="391">
        <f>'Table 4 Level 3'!O69</f>
        <v>331802</v>
      </c>
      <c r="AJ71" s="390">
        <f t="shared" si="8"/>
        <v>136.60024701523261</v>
      </c>
      <c r="AK71" s="391">
        <f t="shared" si="29"/>
        <v>14226615.93534</v>
      </c>
      <c r="AL71" s="390">
        <f t="shared" si="30"/>
        <v>5856.9847407739808</v>
      </c>
      <c r="AM71" s="393">
        <f>'Table 4 Level 3'!R69</f>
        <v>1771373</v>
      </c>
      <c r="AN71" s="394">
        <f t="shared" si="31"/>
        <v>729.26018937834499</v>
      </c>
      <c r="AO71" s="391">
        <f t="shared" si="32"/>
        <v>15666186.93534</v>
      </c>
      <c r="AP71" s="390">
        <f t="shared" si="33"/>
        <v>6449.644683137094</v>
      </c>
      <c r="AQ71" s="392">
        <f t="shared" si="34"/>
        <v>0.714113598113852</v>
      </c>
      <c r="AR71" s="395">
        <f t="shared" si="35"/>
        <v>16</v>
      </c>
      <c r="AS71" s="390">
        <f t="shared" si="36"/>
        <v>6271761</v>
      </c>
      <c r="AT71" s="390">
        <f t="shared" si="9"/>
        <v>2582.0300000000002</v>
      </c>
      <c r="AU71" s="395">
        <f t="shared" si="37"/>
        <v>51</v>
      </c>
      <c r="AV71" s="392">
        <f t="shared" si="38"/>
        <v>0.28588640188614789</v>
      </c>
      <c r="AW71" s="395">
        <f t="shared" si="39"/>
        <v>21937947.935340002</v>
      </c>
      <c r="AX71" s="396">
        <f t="shared" si="10"/>
        <v>9031.678853577605</v>
      </c>
      <c r="AY71" s="395">
        <f t="shared" si="40"/>
        <v>22</v>
      </c>
      <c r="AZ71" s="390">
        <v>15660804.702608</v>
      </c>
      <c r="BA71" s="389">
        <f t="shared" si="11"/>
        <v>5382.2327319998294</v>
      </c>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row>
    <row r="72" spans="1:133" s="397" customFormat="1">
      <c r="A72" s="398">
        <v>65</v>
      </c>
      <c r="B72" s="399" t="s">
        <v>239</v>
      </c>
      <c r="C72" s="399">
        <f>'[4]Table 8   2-1-10 Membership'!U70</f>
        <v>8436</v>
      </c>
      <c r="D72" s="399">
        <v>6812</v>
      </c>
      <c r="E72" s="399">
        <f t="shared" ref="E72:E76" si="42">ROUND($E$4*D72,0)</f>
        <v>1499</v>
      </c>
      <c r="F72" s="399">
        <v>1829</v>
      </c>
      <c r="G72" s="399">
        <f t="shared" ref="G72:G76" si="43">ROUND($G$4*F72,0)</f>
        <v>110</v>
      </c>
      <c r="H72" s="399">
        <v>1272</v>
      </c>
      <c r="I72" s="399">
        <f t="shared" si="12"/>
        <v>1908</v>
      </c>
      <c r="J72" s="399">
        <v>571</v>
      </c>
      <c r="K72" s="400">
        <f t="shared" si="13"/>
        <v>343</v>
      </c>
      <c r="L72" s="400">
        <f t="shared" ref="L72:L76" si="44">IF(C72&lt;$L$4,$L$4-C72,0)</f>
        <v>0</v>
      </c>
      <c r="M72" s="402">
        <f>ROUND(L72/$M$4,5)</f>
        <v>0</v>
      </c>
      <c r="N72" s="400">
        <f xml:space="preserve"> ROUND(C72*M72,0)</f>
        <v>0</v>
      </c>
      <c r="O72" s="400">
        <f t="shared" si="14"/>
        <v>3860</v>
      </c>
      <c r="P72" s="400">
        <f>O72+C72</f>
        <v>12296</v>
      </c>
      <c r="Q72" s="403">
        <f t="shared" si="15"/>
        <v>3855</v>
      </c>
      <c r="R72" s="403">
        <f>ROUND(P72*Q72,0)</f>
        <v>47401080</v>
      </c>
      <c r="S72" s="403">
        <f>'Table 6 (Local Deduct Calc.)'!J73</f>
        <v>16804715</v>
      </c>
      <c r="T72" s="403">
        <f t="shared" si="16"/>
        <v>16804715</v>
      </c>
      <c r="U72" s="404">
        <f t="shared" si="17"/>
        <v>30596365</v>
      </c>
      <c r="V72" s="405">
        <f t="shared" si="41"/>
        <v>0.64549999999999996</v>
      </c>
      <c r="W72" s="406">
        <f t="shared" si="18"/>
        <v>0.35449999999999998</v>
      </c>
      <c r="X72" s="407">
        <f t="shared" si="19"/>
        <v>1992.0240635372215</v>
      </c>
      <c r="Y72" s="403">
        <f>'Table 7 Local Revenue'!AQ72</f>
        <v>38517269</v>
      </c>
      <c r="Z72" s="403">
        <f t="shared" si="20"/>
        <v>21712554</v>
      </c>
      <c r="AA72" s="408">
        <f t="shared" si="21"/>
        <v>0</v>
      </c>
      <c r="AB72" s="409">
        <f t="shared" si="22"/>
        <v>16116367.200000001</v>
      </c>
      <c r="AC72" s="409">
        <f t="shared" si="23"/>
        <v>16116367.200000001</v>
      </c>
      <c r="AD72" s="403">
        <f t="shared" si="24"/>
        <v>9826793.7365279999</v>
      </c>
      <c r="AE72" s="410">
        <f t="shared" si="25"/>
        <v>6289573.4634720013</v>
      </c>
      <c r="AF72" s="411">
        <f t="shared" si="26"/>
        <v>0.39029999999999998</v>
      </c>
      <c r="AG72" s="410">
        <f t="shared" si="27"/>
        <v>36885938.463472001</v>
      </c>
      <c r="AH72" s="409">
        <f t="shared" si="28"/>
        <v>4372</v>
      </c>
      <c r="AI72" s="410">
        <f>'Table 4 Level 3'!O70</f>
        <v>1152361</v>
      </c>
      <c r="AJ72" s="409">
        <f t="shared" ref="AJ72:AJ77" si="45">AI72/C72</f>
        <v>136.60040303461355</v>
      </c>
      <c r="AK72" s="410">
        <f t="shared" si="29"/>
        <v>38038299.463472001</v>
      </c>
      <c r="AL72" s="409">
        <f t="shared" si="30"/>
        <v>4509.0445072868661</v>
      </c>
      <c r="AM72" s="412">
        <f>'Table 4 Level 3'!R70</f>
        <v>8146817</v>
      </c>
      <c r="AN72" s="413">
        <f t="shared" si="31"/>
        <v>965.72036510194403</v>
      </c>
      <c r="AO72" s="410">
        <f t="shared" si="32"/>
        <v>45032755.463472001</v>
      </c>
      <c r="AP72" s="409">
        <f t="shared" si="33"/>
        <v>5338.1644693541966</v>
      </c>
      <c r="AQ72" s="411">
        <f t="shared" si="34"/>
        <v>0.57768490703278974</v>
      </c>
      <c r="AR72" s="414">
        <f t="shared" si="35"/>
        <v>47</v>
      </c>
      <c r="AS72" s="409">
        <f t="shared" si="36"/>
        <v>32921082.199999999</v>
      </c>
      <c r="AT72" s="409">
        <f t="shared" ref="AT72:AT77" si="46">ROUND(AS72/C72,2)</f>
        <v>3902.45</v>
      </c>
      <c r="AU72" s="414">
        <f t="shared" si="37"/>
        <v>18</v>
      </c>
      <c r="AV72" s="411">
        <f t="shared" si="38"/>
        <v>0.42231509296721031</v>
      </c>
      <c r="AW72" s="414">
        <f t="shared" si="39"/>
        <v>77953837.663471997</v>
      </c>
      <c r="AX72" s="415">
        <f t="shared" ref="AX72:AX77" si="47">AW72/C72</f>
        <v>9240.6161289084866</v>
      </c>
      <c r="AY72" s="414">
        <f t="shared" si="40"/>
        <v>16</v>
      </c>
      <c r="AZ72" s="409">
        <v>43316655.05872</v>
      </c>
      <c r="BA72" s="408">
        <f>AO72-AZ72</f>
        <v>1716100.4047520012</v>
      </c>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row>
    <row r="73" spans="1:133" s="397" customFormat="1">
      <c r="A73" s="379">
        <v>66</v>
      </c>
      <c r="B73" s="380" t="s">
        <v>240</v>
      </c>
      <c r="C73" s="380">
        <f>'[4]Table 8   2-1-10 Membership'!U71</f>
        <v>2065</v>
      </c>
      <c r="D73" s="380">
        <v>1932</v>
      </c>
      <c r="E73" s="380">
        <f t="shared" si="42"/>
        <v>425</v>
      </c>
      <c r="F73" s="380">
        <v>560.5</v>
      </c>
      <c r="G73" s="380">
        <f t="shared" si="43"/>
        <v>34</v>
      </c>
      <c r="H73" s="380">
        <v>509</v>
      </c>
      <c r="I73" s="380">
        <f>ROUND($I$4*H73,0)</f>
        <v>764</v>
      </c>
      <c r="J73" s="380">
        <v>93</v>
      </c>
      <c r="K73" s="381">
        <f>ROUND($K$4*J73,0)</f>
        <v>56</v>
      </c>
      <c r="L73" s="381">
        <f t="shared" si="44"/>
        <v>5435</v>
      </c>
      <c r="M73" s="384">
        <f>ROUND(L73/$M$4,5)</f>
        <v>0.14493</v>
      </c>
      <c r="N73" s="381">
        <f xml:space="preserve"> ROUND(C73*M73,0)</f>
        <v>299</v>
      </c>
      <c r="O73" s="381">
        <f>E73+G73+I73+K73+N73</f>
        <v>1578</v>
      </c>
      <c r="P73" s="381">
        <f>O73+C73</f>
        <v>3643</v>
      </c>
      <c r="Q73" s="385">
        <f>$Q$4</f>
        <v>3855</v>
      </c>
      <c r="R73" s="385">
        <f>ROUND(P73*Q73,0)</f>
        <v>14043765</v>
      </c>
      <c r="S73" s="385">
        <f>'Table 6 (Local Deduct Calc.)'!J74</f>
        <v>3538651</v>
      </c>
      <c r="T73" s="385">
        <f>IF((S73&gt;R73*$T$4),R73*$T$4,S73)</f>
        <v>3538651</v>
      </c>
      <c r="U73" s="386">
        <f>R73-T73</f>
        <v>10505114</v>
      </c>
      <c r="V73" s="387">
        <f>ROUND(U73/R73,4)</f>
        <v>0.748</v>
      </c>
      <c r="W73" s="387">
        <f>ROUND(T73/R73,4)</f>
        <v>0.252</v>
      </c>
      <c r="X73" s="388">
        <f>T73/C73</f>
        <v>1713.6324455205811</v>
      </c>
      <c r="Y73" s="385">
        <f>'Table 7 Local Revenue'!AQ73</f>
        <v>6968788</v>
      </c>
      <c r="Z73" s="385">
        <f>IF(Y73-T73&gt;0,Y73-T73,0)</f>
        <v>3430137</v>
      </c>
      <c r="AA73" s="389">
        <f>IF(Y73-T73&lt;0,Y73-T73,0)</f>
        <v>0</v>
      </c>
      <c r="AB73" s="390">
        <f>R73*$AB$4</f>
        <v>4774880.1000000006</v>
      </c>
      <c r="AC73" s="390">
        <f>IF(Z73&lt;AB73,Z73,AB73)</f>
        <v>3430137</v>
      </c>
      <c r="AD73" s="385">
        <f>IF(AC73&gt;0,AC73*(W73*$AD$4),0)</f>
        <v>1486758.58128</v>
      </c>
      <c r="AE73" s="391">
        <f>IF(AC73-AD73&gt;AC73*$AE$4,AC73-AD73,AC73*$AE$4)</f>
        <v>1943378.41872</v>
      </c>
      <c r="AF73" s="392">
        <f>IF(AC73=0,0,ROUND(AE73/AC73,4))</f>
        <v>0.56659999999999999</v>
      </c>
      <c r="AG73" s="391">
        <f>U73+AE73</f>
        <v>12448492.418719999</v>
      </c>
      <c r="AH73" s="390">
        <f>ROUND(AG73/C73,0)</f>
        <v>6028</v>
      </c>
      <c r="AI73" s="391">
        <f>'Table 4 Level 3'!O71</f>
        <v>282080</v>
      </c>
      <c r="AJ73" s="390">
        <f t="shared" si="45"/>
        <v>136.60048426150121</v>
      </c>
      <c r="AK73" s="391">
        <f>AI73+AG73</f>
        <v>12730572.418719999</v>
      </c>
      <c r="AL73" s="390">
        <f t="shared" ref="AL73:AL77" si="48">AK73/C73</f>
        <v>6164.9261107602906</v>
      </c>
      <c r="AM73" s="393">
        <f>'Table 4 Level 3'!R71</f>
        <v>1789654</v>
      </c>
      <c r="AN73" s="394">
        <f>AM73/C73</f>
        <v>866.66053268765131</v>
      </c>
      <c r="AO73" s="391">
        <f>AG73+AM73</f>
        <v>14238146.418719999</v>
      </c>
      <c r="AP73" s="390">
        <f>AO73/C73</f>
        <v>6894.9861591864401</v>
      </c>
      <c r="AQ73" s="392">
        <f>AO73/AW73</f>
        <v>0.67139107131635012</v>
      </c>
      <c r="AR73" s="395">
        <f>RANK(AQ73,$AQ$8:$AQ$76)</f>
        <v>30</v>
      </c>
      <c r="AS73" s="390">
        <f>ROUND(AC73+T73,2)</f>
        <v>6968788</v>
      </c>
      <c r="AT73" s="390">
        <f t="shared" si="46"/>
        <v>3374.72</v>
      </c>
      <c r="AU73" s="395">
        <f>RANK(AT73,$AT$8:$AT$76)</f>
        <v>31</v>
      </c>
      <c r="AV73" s="392">
        <f>AS73/AW73</f>
        <v>0.32860892868364988</v>
      </c>
      <c r="AW73" s="395">
        <f>AS73+AO73</f>
        <v>21206934.418719999</v>
      </c>
      <c r="AX73" s="396">
        <f t="shared" si="47"/>
        <v>10269.701897685231</v>
      </c>
      <c r="AY73" s="395">
        <f>RANK(AX73,$AX$8:$AX$76)</f>
        <v>3</v>
      </c>
      <c r="AZ73" s="390">
        <v>14755846.807024</v>
      </c>
      <c r="BA73" s="389">
        <f>AO73-AZ73</f>
        <v>-517700.38830400072</v>
      </c>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row>
    <row r="74" spans="1:133" s="397" customFormat="1">
      <c r="A74" s="379">
        <v>67</v>
      </c>
      <c r="B74" s="420" t="s">
        <v>241</v>
      </c>
      <c r="C74" s="287">
        <f>'[4]Table 8   2-1-10 Membership'!U72+2</f>
        <v>4870</v>
      </c>
      <c r="D74" s="380">
        <v>2091</v>
      </c>
      <c r="E74" s="380">
        <f t="shared" si="42"/>
        <v>460</v>
      </c>
      <c r="F74" s="380">
        <v>1703.5</v>
      </c>
      <c r="G74" s="380">
        <f t="shared" si="43"/>
        <v>102</v>
      </c>
      <c r="H74" s="380">
        <f>429+1</f>
        <v>430</v>
      </c>
      <c r="I74" s="380">
        <f>ROUND($I$4*H74,0)</f>
        <v>645</v>
      </c>
      <c r="J74" s="380">
        <v>350</v>
      </c>
      <c r="K74" s="381">
        <f>ROUND($K$4*J74,0)</f>
        <v>210</v>
      </c>
      <c r="L74" s="381">
        <f t="shared" si="44"/>
        <v>2630</v>
      </c>
      <c r="M74" s="384">
        <f>ROUND(L74/$M$4,5)</f>
        <v>7.0129999999999998E-2</v>
      </c>
      <c r="N74" s="381">
        <f xml:space="preserve"> ROUND(C74*M74,0)</f>
        <v>342</v>
      </c>
      <c r="O74" s="381">
        <f>E74+G74+I74+K74+N74</f>
        <v>1759</v>
      </c>
      <c r="P74" s="381">
        <f>O74+C74</f>
        <v>6629</v>
      </c>
      <c r="Q74" s="385">
        <f>$Q$4</f>
        <v>3855</v>
      </c>
      <c r="R74" s="385">
        <f>ROUND(P74*Q74,0)</f>
        <v>25554795</v>
      </c>
      <c r="S74" s="385">
        <f>'Table 6 (Local Deduct Calc.)'!J75</f>
        <v>6669146</v>
      </c>
      <c r="T74" s="385">
        <f>IF((S74&gt;R74*$T$4),R74*$T$4,S74)</f>
        <v>6669146</v>
      </c>
      <c r="U74" s="386">
        <f>R74-T74</f>
        <v>18885649</v>
      </c>
      <c r="V74" s="387">
        <f>ROUND(U74/R74,4)</f>
        <v>0.73899999999999999</v>
      </c>
      <c r="W74" s="387">
        <f>ROUND(T74/R74,4)</f>
        <v>0.26100000000000001</v>
      </c>
      <c r="X74" s="388">
        <f>T74/C74</f>
        <v>1369.4344969199178</v>
      </c>
      <c r="Y74" s="385">
        <f>'Table 7 Local Revenue'!AQ74</f>
        <v>21423550</v>
      </c>
      <c r="Z74" s="385">
        <f>IF(Y74-T74&gt;0,Y74-T74,0)</f>
        <v>14754404</v>
      </c>
      <c r="AA74" s="389">
        <f>IF(Y74-T74&lt;0,Y74-T74,0)</f>
        <v>0</v>
      </c>
      <c r="AB74" s="390">
        <f>R74*$AB$4</f>
        <v>8688630.3000000007</v>
      </c>
      <c r="AC74" s="390">
        <f>IF(Z74&lt;AB74,Z74,AB74)</f>
        <v>8688630.3000000007</v>
      </c>
      <c r="AD74" s="385">
        <f>IF(AC74&gt;0,AC74*(W74*$AD$4),0)</f>
        <v>3900499.9142760001</v>
      </c>
      <c r="AE74" s="421">
        <f>IF(AC74-AD74&gt;AC74*$AE$4,AC74-AD74,AC74*$AE$4)</f>
        <v>4788130.3857240006</v>
      </c>
      <c r="AF74" s="392">
        <f>IF(AC74=0,0,ROUND(AE74/AC74,4))</f>
        <v>0.55110000000000003</v>
      </c>
      <c r="AG74" s="391">
        <f>U74+AE74</f>
        <v>23673779.385724001</v>
      </c>
      <c r="AH74" s="390">
        <f>ROUND(AG74/C74,0)</f>
        <v>4861</v>
      </c>
      <c r="AI74" s="391">
        <f>'Table 4 Level 3'!O72</f>
        <v>665244</v>
      </c>
      <c r="AJ74" s="390">
        <f t="shared" si="45"/>
        <v>136.60041067761807</v>
      </c>
      <c r="AK74" s="391">
        <f>AI74+AG74</f>
        <v>24339023.385724001</v>
      </c>
      <c r="AL74" s="390">
        <f t="shared" si="48"/>
        <v>4997.7460750973305</v>
      </c>
      <c r="AM74" s="393">
        <f>'Table 4 Level 3'!R72</f>
        <v>4150265</v>
      </c>
      <c r="AN74" s="394">
        <f>AM74/C74</f>
        <v>852.21047227926078</v>
      </c>
      <c r="AO74" s="391">
        <f>AG74+AM74</f>
        <v>27824044.385724001</v>
      </c>
      <c r="AP74" s="390">
        <f>AO74/C74</f>
        <v>5713.3561366989734</v>
      </c>
      <c r="AQ74" s="392">
        <f>AO74/AW74</f>
        <v>0.64434625367528064</v>
      </c>
      <c r="AR74" s="395">
        <f>RANK(AQ74,$AQ$8:$AQ$76)</f>
        <v>37</v>
      </c>
      <c r="AS74" s="390">
        <f>ROUND(AC74+T74,2)</f>
        <v>15357776.300000001</v>
      </c>
      <c r="AT74" s="390">
        <f t="shared" si="46"/>
        <v>3153.55</v>
      </c>
      <c r="AU74" s="395">
        <f>RANK(AT74,$AT$8:$AT$76)</f>
        <v>34</v>
      </c>
      <c r="AV74" s="392">
        <f>AS74/AW74</f>
        <v>0.3556537463247193</v>
      </c>
      <c r="AW74" s="395">
        <f>AS74+AO74</f>
        <v>43181820.685724005</v>
      </c>
      <c r="AX74" s="396">
        <f t="shared" si="47"/>
        <v>8866.9036315655048</v>
      </c>
      <c r="AY74" s="395">
        <f>RANK(AX74,$AX$8:$AX$76)</f>
        <v>30</v>
      </c>
      <c r="AZ74" s="390">
        <v>27194473.353326801</v>
      </c>
      <c r="BA74" s="389">
        <f>AO74-AZ74</f>
        <v>629571.03239719942</v>
      </c>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row>
    <row r="75" spans="1:133">
      <c r="A75" s="379">
        <v>68</v>
      </c>
      <c r="B75" s="380" t="s">
        <v>242</v>
      </c>
      <c r="C75" s="380">
        <f>'[4]Table 8   2-1-10 Membership'!U73+5</f>
        <v>1803</v>
      </c>
      <c r="D75" s="380">
        <f>1482+2</f>
        <v>1484</v>
      </c>
      <c r="E75" s="380">
        <f t="shared" si="42"/>
        <v>326</v>
      </c>
      <c r="F75" s="380">
        <f>606.5+7</f>
        <v>613.5</v>
      </c>
      <c r="G75" s="380">
        <f t="shared" si="43"/>
        <v>37</v>
      </c>
      <c r="H75" s="380">
        <v>220</v>
      </c>
      <c r="I75" s="380">
        <f>ROUND($I$4*H75,0)</f>
        <v>330</v>
      </c>
      <c r="J75" s="380">
        <v>2</v>
      </c>
      <c r="K75" s="381">
        <f>ROUND($K$4*J75,0)</f>
        <v>1</v>
      </c>
      <c r="L75" s="381">
        <f t="shared" si="44"/>
        <v>5697</v>
      </c>
      <c r="M75" s="384">
        <f>ROUND(L75/$M$4,5)</f>
        <v>0.15192</v>
      </c>
      <c r="N75" s="381">
        <f xml:space="preserve"> ROUND(C75*M75,0)</f>
        <v>274</v>
      </c>
      <c r="O75" s="381">
        <f>E75+G75+I75+K75+N75</f>
        <v>968</v>
      </c>
      <c r="P75" s="381">
        <f>O75+C75</f>
        <v>2771</v>
      </c>
      <c r="Q75" s="385">
        <f>$Q$4</f>
        <v>3855</v>
      </c>
      <c r="R75" s="385">
        <f>ROUND(P75*Q75,0)</f>
        <v>10682205</v>
      </c>
      <c r="S75" s="385">
        <f>'Table 6 (Local Deduct Calc.)'!J76</f>
        <v>2177418</v>
      </c>
      <c r="T75" s="385">
        <f>IF((S75&gt;R75*$T$4),R75*$T$4,S75)</f>
        <v>2177418</v>
      </c>
      <c r="U75" s="386">
        <f>R75-T75</f>
        <v>8504787</v>
      </c>
      <c r="V75" s="387">
        <f>ROUND(U75/R75,4)</f>
        <v>0.79620000000000002</v>
      </c>
      <c r="W75" s="387">
        <f>ROUND(T75/R75,4)</f>
        <v>0.20380000000000001</v>
      </c>
      <c r="X75" s="388">
        <f>T75/C75</f>
        <v>1207.6638935108153</v>
      </c>
      <c r="Y75" s="385">
        <f>'Table 7 Local Revenue'!AQ75</f>
        <v>4962639</v>
      </c>
      <c r="Z75" s="385">
        <f>IF(Y75-T75&gt;0,Y75-T75,0)</f>
        <v>2785221</v>
      </c>
      <c r="AA75" s="389">
        <f>IF(Y75-T75&lt;0,Y75-T75,0)</f>
        <v>0</v>
      </c>
      <c r="AB75" s="390">
        <f>R75*$AB$4</f>
        <v>3631949.7</v>
      </c>
      <c r="AC75" s="390">
        <f>IF(Z75&lt;AB75,Z75,AB75)</f>
        <v>2785221</v>
      </c>
      <c r="AD75" s="385">
        <f>IF(AC75&gt;0,AC75*(W75*$AD$4),0)</f>
        <v>976320.22845599998</v>
      </c>
      <c r="AE75" s="391">
        <f>IF(AC75-AD75&gt;AC75*$AE$4,AC75-AD75,AC75*$AE$4)</f>
        <v>1808900.7715440001</v>
      </c>
      <c r="AF75" s="392">
        <f>IF(AC75=0,0,ROUND(AE75/AC75,4))</f>
        <v>0.64949999999999997</v>
      </c>
      <c r="AG75" s="391">
        <f>U75+AE75</f>
        <v>10313687.771544</v>
      </c>
      <c r="AH75" s="390">
        <f>ROUND(AG75/C75,0)</f>
        <v>5720</v>
      </c>
      <c r="AI75" s="391">
        <f>'Table 4 Level 3'!O73</f>
        <v>246291</v>
      </c>
      <c r="AJ75" s="390">
        <f t="shared" si="45"/>
        <v>136.60066555740431</v>
      </c>
      <c r="AK75" s="391">
        <f>AI75+AG75</f>
        <v>10559978.771544</v>
      </c>
      <c r="AL75" s="390">
        <f t="shared" si="48"/>
        <v>5856.8933841064891</v>
      </c>
      <c r="AM75" s="393">
        <f>'Table 4 Level 3'!R73</f>
        <v>1686347</v>
      </c>
      <c r="AN75" s="394">
        <f>AM75/C75</f>
        <v>935.30061009428732</v>
      </c>
      <c r="AO75" s="391">
        <f>AG75+AM75</f>
        <v>12000034.771544</v>
      </c>
      <c r="AP75" s="390">
        <f>AO75/C75</f>
        <v>6655.5933286433719</v>
      </c>
      <c r="AQ75" s="392">
        <f>AO75/AW75</f>
        <v>0.70743769131932754</v>
      </c>
      <c r="AR75" s="395">
        <f>RANK(AQ75,$AQ$8:$AQ$76)</f>
        <v>19</v>
      </c>
      <c r="AS75" s="390">
        <f>ROUND(AC75+T75,2)</f>
        <v>4962639</v>
      </c>
      <c r="AT75" s="390">
        <f t="shared" si="46"/>
        <v>2752.43</v>
      </c>
      <c r="AU75" s="395">
        <f>RANK(AT75,$AT$8:$AT$76)</f>
        <v>48</v>
      </c>
      <c r="AV75" s="392">
        <f>AS75/AW75</f>
        <v>0.29256230868067229</v>
      </c>
      <c r="AW75" s="395">
        <f>AS75+AO75</f>
        <v>16962673.771544002</v>
      </c>
      <c r="AX75" s="396">
        <f t="shared" si="47"/>
        <v>9408.0276048496962</v>
      </c>
      <c r="AY75" s="395">
        <f>RANK(AX75,$AX$8:$AX$76)</f>
        <v>11</v>
      </c>
      <c r="AZ75" s="390">
        <v>12835718.74848</v>
      </c>
      <c r="BA75" s="389">
        <f>AO75-AZ75</f>
        <v>-835683.97693599947</v>
      </c>
    </row>
    <row r="76" spans="1:133">
      <c r="A76" s="398">
        <v>69</v>
      </c>
      <c r="B76" s="399" t="s">
        <v>243</v>
      </c>
      <c r="C76" s="380">
        <f>'[4]Table 8   2-1-10 Membership'!U74+2</f>
        <v>3891</v>
      </c>
      <c r="D76" s="399">
        <f>1935+1</f>
        <v>1936</v>
      </c>
      <c r="E76" s="399">
        <f t="shared" si="42"/>
        <v>426</v>
      </c>
      <c r="F76" s="399">
        <f>1521+1</f>
        <v>1522</v>
      </c>
      <c r="G76" s="399">
        <f t="shared" si="43"/>
        <v>91</v>
      </c>
      <c r="H76" s="399">
        <v>291</v>
      </c>
      <c r="I76" s="399">
        <f>ROUND($I$4*H76,0)</f>
        <v>437</v>
      </c>
      <c r="J76" s="399">
        <v>148</v>
      </c>
      <c r="K76" s="400">
        <f>ROUND($K$4*J76,0)</f>
        <v>89</v>
      </c>
      <c r="L76" s="400">
        <f t="shared" si="44"/>
        <v>3609</v>
      </c>
      <c r="M76" s="402">
        <f>ROUND(L76/$M$4,5)</f>
        <v>9.6240000000000006E-2</v>
      </c>
      <c r="N76" s="381">
        <f xml:space="preserve"> ROUND(C76*M76,0)</f>
        <v>374</v>
      </c>
      <c r="O76" s="400">
        <f>E76+G76+I76+K76+N76</f>
        <v>1417</v>
      </c>
      <c r="P76" s="400">
        <f>O76+C76</f>
        <v>5308</v>
      </c>
      <c r="Q76" s="385">
        <f>$Q$4</f>
        <v>3855</v>
      </c>
      <c r="R76" s="385">
        <f>ROUND(P76*Q76,0)</f>
        <v>20462340</v>
      </c>
      <c r="S76" s="385">
        <f>'Table 6 (Local Deduct Calc.)'!J77</f>
        <v>4149742</v>
      </c>
      <c r="T76" s="385">
        <f>IF((S76&gt;R76*$T$4),R76*$T$4,S76)</f>
        <v>4149742</v>
      </c>
      <c r="U76" s="386">
        <f>R76-T76</f>
        <v>16312598</v>
      </c>
      <c r="V76" s="387">
        <f>ROUND(U76/R76,4)</f>
        <v>0.79720000000000002</v>
      </c>
      <c r="W76" s="387">
        <f>ROUND(T76/R76,4)</f>
        <v>0.20280000000000001</v>
      </c>
      <c r="X76" s="388">
        <f>T76/C76</f>
        <v>1066.4975584682602</v>
      </c>
      <c r="Y76" s="385">
        <f>'Table 7 Local Revenue'!AQ76</f>
        <v>11640732</v>
      </c>
      <c r="Z76" s="385">
        <f>IF(Y76-T76&gt;0,Y76-T76,0)</f>
        <v>7490990</v>
      </c>
      <c r="AA76" s="389">
        <f>IF(Y76-T76&lt;0,Y76-T76,0)</f>
        <v>0</v>
      </c>
      <c r="AB76" s="390">
        <f>R76*$AB$4</f>
        <v>6957195.6000000006</v>
      </c>
      <c r="AC76" s="390">
        <f>IF(Z76&lt;AB76,Z76,AB76)</f>
        <v>6957195.6000000006</v>
      </c>
      <c r="AD76" s="385">
        <f>IF(AC76&gt;0,AC76*(W76*$AD$4),0)</f>
        <v>2426781.1404096005</v>
      </c>
      <c r="AE76" s="391">
        <f>IF(AC76-AD76&gt;AC76*$AE$4,AC76-AD76,AC76*$AE$4)</f>
        <v>4530414.4595903996</v>
      </c>
      <c r="AF76" s="392">
        <f>IF(AC76=0,0,ROUND(AE76/AC76,4))</f>
        <v>0.6512</v>
      </c>
      <c r="AG76" s="391">
        <f>U76+AE76</f>
        <v>20843012.459590398</v>
      </c>
      <c r="AH76" s="390">
        <f>ROUND(AG76/C76,0)</f>
        <v>5357</v>
      </c>
      <c r="AI76" s="391">
        <f>'Table 4 Level 3'!O74</f>
        <v>531512</v>
      </c>
      <c r="AJ76" s="390">
        <f t="shared" si="45"/>
        <v>136.60035980467745</v>
      </c>
      <c r="AK76" s="410">
        <f>AI76+AG76</f>
        <v>21374524.459590398</v>
      </c>
      <c r="AL76" s="409">
        <f t="shared" si="48"/>
        <v>5493.3241993293232</v>
      </c>
      <c r="AM76" s="393">
        <f>'Table 4 Level 3'!R74</f>
        <v>3277274</v>
      </c>
      <c r="AN76" s="394">
        <f>AM76/C76</f>
        <v>842.27036751477772</v>
      </c>
      <c r="AO76" s="410">
        <f>AG76+AM76</f>
        <v>24120286.459590398</v>
      </c>
      <c r="AP76" s="409">
        <f>AO76/C76</f>
        <v>6198.9942070394236</v>
      </c>
      <c r="AQ76" s="392">
        <f>AO76/AW76</f>
        <v>0.68470585189421973</v>
      </c>
      <c r="AR76" s="395">
        <f>RANK(AQ76,$AQ$8:$AQ$76)</f>
        <v>26</v>
      </c>
      <c r="AS76" s="390">
        <f>ROUND(AC76+T76,2)</f>
        <v>11106937.6</v>
      </c>
      <c r="AT76" s="390">
        <f t="shared" si="46"/>
        <v>2854.52</v>
      </c>
      <c r="AU76" s="395">
        <f>RANK(AT76,$AT$8:$AT$76)</f>
        <v>44</v>
      </c>
      <c r="AV76" s="392">
        <f>AS76/AW76</f>
        <v>0.31529414810578021</v>
      </c>
      <c r="AW76" s="395">
        <f>AS76+AO76</f>
        <v>35227224.059590399</v>
      </c>
      <c r="AX76" s="396">
        <f t="shared" si="47"/>
        <v>9053.5142790003592</v>
      </c>
      <c r="AY76" s="395">
        <f>RANK(AX76,$AX$8:$AX$76)</f>
        <v>21</v>
      </c>
      <c r="AZ76" s="390">
        <v>22803809.851658799</v>
      </c>
      <c r="BA76" s="408">
        <f>AO76-AZ76</f>
        <v>1316476.607931599</v>
      </c>
    </row>
    <row r="77" spans="1:133" ht="13.5" thickBot="1">
      <c r="A77" s="422"/>
      <c r="B77" s="423" t="s">
        <v>369</v>
      </c>
      <c r="C77" s="424">
        <f>SUM(C8:C76)</f>
        <v>661517</v>
      </c>
      <c r="D77" s="424">
        <f t="shared" ref="D77:L77" si="49">SUM(D8:D76)</f>
        <v>443905</v>
      </c>
      <c r="E77" s="424">
        <f t="shared" si="49"/>
        <v>97662</v>
      </c>
      <c r="F77" s="424">
        <f t="shared" si="49"/>
        <v>205776.5</v>
      </c>
      <c r="G77" s="424">
        <f t="shared" si="49"/>
        <v>12344</v>
      </c>
      <c r="H77" s="424">
        <f t="shared" si="49"/>
        <v>82279</v>
      </c>
      <c r="I77" s="424">
        <f t="shared" si="49"/>
        <v>123438</v>
      </c>
      <c r="J77" s="424">
        <f t="shared" si="49"/>
        <v>27167</v>
      </c>
      <c r="K77" s="424">
        <f t="shared" si="49"/>
        <v>16304</v>
      </c>
      <c r="L77" s="424">
        <f t="shared" si="49"/>
        <v>182799</v>
      </c>
      <c r="M77" s="424"/>
      <c r="N77" s="424">
        <f>SUM(N8:N76)</f>
        <v>13389</v>
      </c>
      <c r="O77" s="424">
        <f>SUM(O8:O76)</f>
        <v>263137</v>
      </c>
      <c r="P77" s="424">
        <f>SUM(P8:P76)</f>
        <v>924654</v>
      </c>
      <c r="Q77" s="425">
        <f>$Q$4</f>
        <v>3855</v>
      </c>
      <c r="R77" s="426">
        <f>SUM(R8:R76)</f>
        <v>3564541170</v>
      </c>
      <c r="S77" s="426">
        <f>SUM(S8:S76)</f>
        <v>1256320071.5</v>
      </c>
      <c r="T77" s="426">
        <f>SUM(T8:T76)</f>
        <v>1247545967.5</v>
      </c>
      <c r="U77" s="427">
        <f>SUM(U8:U76)</f>
        <v>2316995202.5</v>
      </c>
      <c r="V77" s="428">
        <f>ROUND(U77/R77,4)</f>
        <v>0.65</v>
      </c>
      <c r="W77" s="429">
        <f>ROUND(T77/R77,4)</f>
        <v>0.35</v>
      </c>
      <c r="X77" s="430">
        <f>T77/C77</f>
        <v>1885.8864813753842</v>
      </c>
      <c r="Y77" s="426">
        <f t="shared" ref="Y77:AE77" si="50">SUM(Y8:Y76)</f>
        <v>2855993315.5</v>
      </c>
      <c r="Z77" s="426">
        <f t="shared" si="50"/>
        <v>1607830984</v>
      </c>
      <c r="AA77" s="426">
        <f t="shared" si="50"/>
        <v>0</v>
      </c>
      <c r="AB77" s="431">
        <f t="shared" si="50"/>
        <v>1211943997.8</v>
      </c>
      <c r="AC77" s="431">
        <f t="shared" si="50"/>
        <v>1063767149.2</v>
      </c>
      <c r="AD77" s="425">
        <f t="shared" si="50"/>
        <v>673971397.62797868</v>
      </c>
      <c r="AE77" s="432">
        <f t="shared" si="50"/>
        <v>399856216.25968516</v>
      </c>
      <c r="AF77" s="433">
        <f>IF(AC77=0,0,ROUND(AE77/AC77,4))</f>
        <v>0.37590000000000001</v>
      </c>
      <c r="AG77" s="434">
        <f>SUM(AG8:AG76)</f>
        <v>2716851418.7596846</v>
      </c>
      <c r="AH77" s="435">
        <f>ROUND(AG77/C77,0)</f>
        <v>4107</v>
      </c>
      <c r="AI77" s="434">
        <f>SUM(AI8:AI76)</f>
        <v>147804630</v>
      </c>
      <c r="AJ77" s="436">
        <f t="shared" si="45"/>
        <v>223.43285206578213</v>
      </c>
      <c r="AK77" s="434">
        <f>SUM(AK8:AK76)</f>
        <v>2864656048.759685</v>
      </c>
      <c r="AL77" s="436">
        <f t="shared" si="48"/>
        <v>4330.434514547147</v>
      </c>
      <c r="AM77" s="434">
        <f>SUM(AM8:AM76)</f>
        <v>614163054.78309655</v>
      </c>
      <c r="AN77" s="436">
        <f>AM77/C77</f>
        <v>928.41613259084284</v>
      </c>
      <c r="AO77" s="434">
        <f>SUM(AO8:AO76)</f>
        <v>3331014473.5427814</v>
      </c>
      <c r="AP77" s="436">
        <f>AO77/C77</f>
        <v>5035.4177950722069</v>
      </c>
      <c r="AQ77" s="437">
        <f>AO77/AW77</f>
        <v>0.59036176476230651</v>
      </c>
      <c r="AR77" s="435"/>
      <c r="AS77" s="435">
        <f>SUM(AS8:AS76)</f>
        <v>2311313116.7000003</v>
      </c>
      <c r="AT77" s="436">
        <f t="shared" si="46"/>
        <v>3493.96</v>
      </c>
      <c r="AU77" s="436"/>
      <c r="AV77" s="433">
        <f>AS77/AW77</f>
        <v>0.40963823523769333</v>
      </c>
      <c r="AW77" s="436">
        <f>SUM(AW8:AW76)</f>
        <v>5642327590.2427826</v>
      </c>
      <c r="AX77" s="426">
        <f t="shared" si="47"/>
        <v>8529.3765545598708</v>
      </c>
      <c r="AY77" s="436"/>
      <c r="AZ77" s="436">
        <f t="shared" ref="AZ77:BA77" si="51">SUM(AZ8:AZ76)</f>
        <v>3310541206.8031144</v>
      </c>
      <c r="BA77" s="436">
        <f t="shared" si="51"/>
        <v>20473266.739669248</v>
      </c>
    </row>
    <row r="78" spans="1:133" ht="12.75" customHeight="1" thickTop="1">
      <c r="A78" s="438"/>
      <c r="B78" s="439"/>
      <c r="C78" s="440"/>
      <c r="D78" s="441"/>
      <c r="E78" s="442"/>
      <c r="F78" s="440"/>
      <c r="G78" s="441"/>
      <c r="H78" s="441"/>
      <c r="I78" s="441"/>
      <c r="J78" s="441"/>
      <c r="O78" s="397"/>
      <c r="P78" s="397"/>
      <c r="S78" s="250"/>
      <c r="T78" s="250"/>
      <c r="U78" s="444"/>
      <c r="V78" s="250"/>
      <c r="W78" s="250"/>
      <c r="X78" s="250"/>
      <c r="Y78" s="250"/>
      <c r="AA78" s="250"/>
      <c r="AB78" s="250"/>
      <c r="AC78" s="250"/>
      <c r="AD78" s="250"/>
      <c r="AE78" s="250"/>
      <c r="AF78" s="250"/>
      <c r="AH78" s="250"/>
      <c r="AX78" s="445"/>
      <c r="AY78" s="445"/>
      <c r="AZ78" s="445"/>
      <c r="BA78" s="250"/>
    </row>
    <row r="79" spans="1:133" s="453" customFormat="1" ht="15" hidden="1" customHeight="1" thickTop="1">
      <c r="A79" s="446"/>
      <c r="B79" s="447"/>
      <c r="C79" s="448"/>
      <c r="D79" s="449">
        <f>D76/C76</f>
        <v>0.49755846826008737</v>
      </c>
      <c r="E79" s="447"/>
      <c r="F79" s="450"/>
      <c r="G79" s="447"/>
      <c r="H79" s="451"/>
      <c r="I79" s="452"/>
      <c r="J79" s="451"/>
      <c r="N79" s="1673"/>
      <c r="O79" s="1673"/>
      <c r="Q79" s="454"/>
      <c r="R79" s="455">
        <f>R77*0.35</f>
        <v>1247589409.5</v>
      </c>
      <c r="S79" s="456"/>
      <c r="T79" s="456"/>
      <c r="U79" s="457">
        <f>R79/R81</f>
        <v>0.99305060692887293</v>
      </c>
      <c r="V79" s="343"/>
      <c r="W79" s="343"/>
      <c r="X79" s="343"/>
      <c r="Y79" s="343"/>
      <c r="AA79" s="343"/>
      <c r="AB79" s="343"/>
      <c r="AC79" s="343"/>
      <c r="AD79" s="343"/>
      <c r="AE79" s="458"/>
      <c r="AF79" s="343"/>
      <c r="AG79" s="343"/>
      <c r="AH79" s="343"/>
      <c r="AI79" s="343"/>
      <c r="AJ79" s="343"/>
      <c r="AK79" s="343"/>
      <c r="AL79" s="343"/>
      <c r="AM79" s="343"/>
      <c r="AN79" s="343"/>
      <c r="AO79" s="343"/>
      <c r="AP79" s="343"/>
      <c r="AQ79" s="343"/>
      <c r="AR79" s="343"/>
      <c r="AS79" s="343"/>
      <c r="AT79" s="343"/>
      <c r="AU79" s="343"/>
      <c r="AV79" s="343"/>
      <c r="AW79" s="343"/>
      <c r="AX79" s="343"/>
      <c r="AY79" s="343"/>
      <c r="AZ79" s="343"/>
      <c r="BA79" s="343"/>
    </row>
    <row r="80" spans="1:133" ht="13.5" hidden="1" customHeight="1" thickTop="1">
      <c r="A80" s="438"/>
      <c r="B80" s="441"/>
      <c r="C80" s="459"/>
      <c r="D80" s="460"/>
      <c r="E80" s="461"/>
      <c r="F80" s="441"/>
      <c r="G80" s="441"/>
      <c r="H80" s="311"/>
      <c r="I80" s="462"/>
      <c r="J80" s="311"/>
      <c r="Q80" s="463"/>
      <c r="R80" s="464"/>
      <c r="S80" s="465"/>
      <c r="T80" s="465"/>
      <c r="U80" s="466"/>
      <c r="V80" s="343"/>
      <c r="W80" s="343"/>
      <c r="X80" s="343"/>
      <c r="Y80" s="343"/>
      <c r="AA80" s="343"/>
      <c r="AB80" s="343"/>
      <c r="AC80" s="343"/>
      <c r="AD80" s="343"/>
      <c r="AE80" s="343"/>
      <c r="AF80" s="343"/>
      <c r="AG80" s="467"/>
      <c r="AH80" s="343"/>
      <c r="AI80" s="343"/>
      <c r="AJ80" s="343"/>
      <c r="AK80" s="467"/>
      <c r="AL80" s="467"/>
      <c r="AM80" s="467"/>
      <c r="AN80" s="467"/>
      <c r="AO80" s="467"/>
      <c r="AP80" s="467"/>
      <c r="AQ80" s="467"/>
      <c r="AR80" s="467"/>
      <c r="AS80" s="343"/>
      <c r="AT80" s="467"/>
      <c r="AU80" s="467"/>
      <c r="AV80" s="467"/>
      <c r="AW80" s="467"/>
      <c r="AX80" s="467"/>
      <c r="AY80" s="467"/>
      <c r="AZ80" s="467"/>
      <c r="BA80" s="343"/>
    </row>
    <row r="81" spans="1:53" ht="13.5" hidden="1" customHeight="1" thickTop="1">
      <c r="A81" s="438"/>
      <c r="B81" s="441"/>
      <c r="C81" s="468"/>
      <c r="D81" s="440"/>
      <c r="E81" s="441"/>
      <c r="F81" s="441"/>
      <c r="G81" s="441"/>
      <c r="H81" s="451"/>
      <c r="I81" s="311"/>
      <c r="J81" s="451"/>
      <c r="Q81" s="469"/>
      <c r="R81" s="470">
        <f>'Table 6 (Local Deduct Calc.)'!E78+'Table 6 (Local Deduct Calc.)'!H78+'Table 6 (Local Deduct Calc.)'!I78</f>
        <v>1256320071.5</v>
      </c>
      <c r="S81" s="465" t="s">
        <v>370</v>
      </c>
      <c r="T81" s="465"/>
      <c r="U81" s="471"/>
      <c r="V81" s="343"/>
      <c r="W81" s="343"/>
      <c r="X81" s="343"/>
      <c r="Y81" s="343"/>
      <c r="AA81" s="343"/>
      <c r="AB81" s="343"/>
      <c r="AC81" s="343"/>
      <c r="AD81" s="343"/>
      <c r="AE81" s="343"/>
      <c r="AF81" s="343"/>
      <c r="AG81" s="343"/>
      <c r="AH81" s="343"/>
      <c r="AI81" s="343"/>
      <c r="AJ81" s="343"/>
      <c r="AK81" s="343"/>
      <c r="AL81" s="343"/>
      <c r="AM81" s="343"/>
      <c r="AN81" s="343"/>
      <c r="AO81" s="343"/>
      <c r="AP81" s="343"/>
      <c r="AQ81" s="343"/>
      <c r="AR81" s="343"/>
      <c r="AS81" s="343"/>
      <c r="AT81" s="343"/>
      <c r="AU81" s="343"/>
      <c r="AV81" s="343"/>
      <c r="AW81" s="343"/>
      <c r="AX81" s="343"/>
      <c r="AY81" s="343"/>
      <c r="AZ81" s="343"/>
      <c r="BA81" s="343"/>
    </row>
    <row r="82" spans="1:53" ht="13.5" hidden="1" customHeight="1" thickTop="1">
      <c r="A82" s="438"/>
      <c r="B82" s="441"/>
      <c r="C82" s="468"/>
      <c r="D82" s="441"/>
      <c r="E82" s="441"/>
      <c r="F82" s="441"/>
      <c r="G82" s="441"/>
      <c r="H82" s="311"/>
      <c r="I82" s="311"/>
      <c r="J82" s="311"/>
      <c r="R82" s="464"/>
      <c r="S82" s="465"/>
      <c r="T82" s="465"/>
      <c r="U82" s="471"/>
      <c r="V82" s="343"/>
      <c r="W82" s="343"/>
      <c r="X82" s="343"/>
      <c r="Y82" s="343"/>
      <c r="AA82" s="343"/>
      <c r="AB82" s="343"/>
      <c r="AC82" s="343"/>
      <c r="AD82" s="343"/>
      <c r="AE82" s="343"/>
      <c r="AF82" s="343"/>
      <c r="AG82" s="467"/>
      <c r="AH82" s="343"/>
      <c r="AI82" s="343"/>
      <c r="AJ82" s="343"/>
      <c r="AK82" s="343"/>
      <c r="AL82" s="343"/>
      <c r="AM82" s="343"/>
      <c r="AN82" s="343"/>
      <c r="AO82" s="343"/>
      <c r="AP82" s="343"/>
      <c r="AQ82" s="343"/>
      <c r="AR82" s="343"/>
      <c r="AS82" s="343"/>
      <c r="AT82" s="343"/>
      <c r="AU82" s="343"/>
      <c r="AV82" s="343"/>
      <c r="AW82" s="343"/>
      <c r="AX82" s="343"/>
      <c r="AY82" s="343"/>
      <c r="AZ82" s="467"/>
      <c r="BA82" s="343"/>
    </row>
    <row r="83" spans="1:53" ht="13.5" hidden="1" customHeight="1" thickTop="1">
      <c r="A83" s="438"/>
      <c r="B83" s="441"/>
      <c r="C83" s="441"/>
      <c r="D83" s="441"/>
      <c r="E83" s="441"/>
      <c r="F83" s="441"/>
      <c r="G83" s="441"/>
      <c r="H83" s="441"/>
      <c r="I83" s="441"/>
      <c r="J83" s="441"/>
      <c r="R83" s="464"/>
      <c r="S83" s="465"/>
      <c r="T83" s="465"/>
      <c r="U83" s="471"/>
      <c r="V83" s="343"/>
      <c r="W83" s="343"/>
      <c r="X83" s="343"/>
      <c r="Y83" s="343"/>
      <c r="AA83" s="343"/>
      <c r="AB83" s="343"/>
      <c r="AC83" s="343"/>
      <c r="AD83" s="343"/>
      <c r="AE83" s="343"/>
      <c r="AF83" s="343"/>
      <c r="AG83" s="467"/>
      <c r="AH83" s="343"/>
      <c r="AI83" s="343"/>
      <c r="AJ83" s="343"/>
      <c r="AK83" s="343"/>
      <c r="AL83" s="343"/>
      <c r="AM83" s="343"/>
      <c r="AN83" s="343"/>
      <c r="AO83" s="343"/>
      <c r="AP83" s="343"/>
      <c r="AQ83" s="343"/>
      <c r="AR83" s="343"/>
      <c r="AS83" s="343"/>
      <c r="AT83" s="343"/>
      <c r="AU83" s="343"/>
      <c r="AV83" s="343"/>
      <c r="AW83" s="343"/>
      <c r="AX83" s="343"/>
      <c r="AY83" s="343"/>
      <c r="AZ83" s="467"/>
      <c r="BA83" s="343"/>
    </row>
    <row r="84" spans="1:53" ht="21.75" hidden="1" customHeight="1" thickTop="1" thickBot="1">
      <c r="A84" s="438"/>
      <c r="B84" s="441"/>
      <c r="C84" s="311"/>
      <c r="D84" s="472"/>
      <c r="E84" s="472"/>
      <c r="F84" s="472"/>
      <c r="G84" s="472"/>
      <c r="H84" s="311"/>
      <c r="I84" s="311"/>
      <c r="J84" s="311"/>
      <c r="R84" s="473" t="s">
        <v>371</v>
      </c>
      <c r="S84" s="474"/>
      <c r="T84" s="474"/>
      <c r="U84" s="475"/>
    </row>
    <row r="85" spans="1:53" ht="15" customHeight="1">
      <c r="A85" s="438"/>
      <c r="B85" s="441"/>
      <c r="C85" s="1674" t="s">
        <v>372</v>
      </c>
      <c r="D85" s="1674"/>
      <c r="E85" s="1674"/>
      <c r="F85" s="1674"/>
      <c r="G85" s="476"/>
      <c r="H85" s="1674" t="s">
        <v>372</v>
      </c>
      <c r="I85" s="1674"/>
      <c r="J85" s="1674"/>
      <c r="K85" s="1674"/>
      <c r="S85" s="477"/>
      <c r="T85" s="477"/>
      <c r="U85" s="477"/>
    </row>
    <row r="86" spans="1:53" ht="13.5" hidden="1" customHeight="1">
      <c r="A86" s="438"/>
      <c r="B86" s="441"/>
      <c r="C86" s="476"/>
      <c r="D86" s="476"/>
      <c r="E86" s="476"/>
      <c r="F86" s="476"/>
      <c r="G86" s="476"/>
      <c r="H86" s="311"/>
      <c r="I86" s="311"/>
      <c r="J86" s="311"/>
      <c r="S86" s="477"/>
      <c r="T86" s="477"/>
      <c r="U86" s="477"/>
      <c r="Z86" s="1487" t="s">
        <v>373</v>
      </c>
      <c r="AA86" s="1488"/>
      <c r="AB86" s="1488"/>
      <c r="AC86" s="1488"/>
      <c r="AD86" s="1488"/>
      <c r="AE86" s="1488"/>
      <c r="AF86" s="1488"/>
      <c r="AG86" s="1488"/>
      <c r="AH86" s="1488"/>
      <c r="AI86" s="1488"/>
      <c r="AJ86" s="1488"/>
      <c r="AK86" s="1488"/>
      <c r="AL86" s="1488"/>
      <c r="AM86" s="1488"/>
      <c r="AN86" s="1488"/>
      <c r="AO86" s="1488"/>
      <c r="AP86" s="1488"/>
      <c r="AQ86" s="1488"/>
      <c r="AR86" s="1488"/>
      <c r="AS86" s="1488"/>
      <c r="AT86" s="1488"/>
      <c r="AU86" s="1488"/>
      <c r="AV86" s="1488"/>
      <c r="AW86" s="1488"/>
      <c r="AX86" s="1488"/>
      <c r="AY86" s="1488"/>
      <c r="AZ86" s="1488"/>
      <c r="BA86" s="1488"/>
    </row>
    <row r="87" spans="1:53" ht="13.5" hidden="1" customHeight="1" thickBot="1">
      <c r="A87" s="438"/>
      <c r="B87" s="441"/>
      <c r="C87" s="460"/>
      <c r="D87" s="311"/>
      <c r="E87" s="472"/>
      <c r="F87" s="472"/>
      <c r="G87" s="472"/>
      <c r="H87" s="311"/>
      <c r="I87" s="311"/>
      <c r="J87" s="311"/>
      <c r="S87" s="477"/>
      <c r="T87" s="477"/>
      <c r="U87" s="477"/>
      <c r="Z87" s="1487" t="s">
        <v>374</v>
      </c>
      <c r="AA87" s="1488"/>
      <c r="AB87" s="1488"/>
      <c r="AC87" s="1488"/>
      <c r="AD87" s="1488"/>
      <c r="AE87" s="1488"/>
      <c r="AF87" s="1488"/>
      <c r="AG87" s="1481">
        <f>AE77+U77</f>
        <v>2716851418.759685</v>
      </c>
      <c r="AH87" s="1488"/>
      <c r="AI87" s="1479">
        <f>'Table 4 Level 3'!O75</f>
        <v>147804630</v>
      </c>
      <c r="AJ87" s="1478"/>
      <c r="AK87" s="1489">
        <f>AI77+AG77</f>
        <v>2864656048.7596846</v>
      </c>
      <c r="AL87" s="1489"/>
      <c r="AM87" s="1489">
        <f>'Table 4 Level 3'!R75</f>
        <v>614163054.78309655</v>
      </c>
      <c r="AN87" s="1489"/>
      <c r="AO87" s="1490">
        <f>AG77+AM77</f>
        <v>3331014473.5427809</v>
      </c>
      <c r="AP87" s="1489"/>
      <c r="AQ87" s="1489"/>
      <c r="AR87" s="1489"/>
      <c r="AS87" s="1478"/>
      <c r="AT87" s="1489"/>
      <c r="AU87" s="1489"/>
      <c r="AV87" s="1489"/>
      <c r="AW87" s="1491">
        <f>AS77+AO77</f>
        <v>5642327590.2427816</v>
      </c>
      <c r="AX87" s="1488"/>
      <c r="AY87" s="1488"/>
      <c r="AZ87" s="1488"/>
      <c r="BA87" s="1488"/>
    </row>
    <row r="88" spans="1:53" ht="13.5" hidden="1" customHeight="1" thickTop="1">
      <c r="A88" s="438"/>
      <c r="B88" s="441"/>
      <c r="C88" s="441"/>
      <c r="D88" s="441"/>
      <c r="E88" s="441"/>
      <c r="F88" s="441"/>
      <c r="G88" s="441"/>
      <c r="H88" s="441"/>
      <c r="I88" s="441"/>
      <c r="J88" s="441"/>
      <c r="S88" s="477"/>
      <c r="T88" s="477"/>
      <c r="U88" s="477"/>
      <c r="Z88" s="1487" t="s">
        <v>187</v>
      </c>
      <c r="AA88" s="1488"/>
      <c r="AB88" s="1488"/>
      <c r="AC88" s="1488"/>
      <c r="AD88" s="1488"/>
      <c r="AE88" s="1488"/>
      <c r="AF88" s="1488"/>
      <c r="AG88" s="1488"/>
      <c r="AH88" s="1488"/>
      <c r="AI88" s="1488"/>
      <c r="AJ88" s="1488"/>
      <c r="AK88" s="1488"/>
      <c r="AL88" s="1488"/>
      <c r="AM88" s="1488"/>
      <c r="AN88" s="1488"/>
      <c r="AO88" s="1488"/>
      <c r="AP88" s="1488"/>
      <c r="AQ88" s="1488"/>
      <c r="AR88" s="1488"/>
      <c r="AS88" s="1488"/>
      <c r="AT88" s="1488"/>
      <c r="AU88" s="1488"/>
      <c r="AV88" s="1488"/>
      <c r="AW88" s="1488"/>
      <c r="AX88" s="1488"/>
      <c r="AY88" s="1488"/>
      <c r="AZ88" s="1488"/>
      <c r="BA88" s="1488"/>
    </row>
    <row r="89" spans="1:53" ht="13.5" hidden="1" customHeight="1">
      <c r="A89" s="478"/>
      <c r="B89" s="311"/>
      <c r="C89" s="479"/>
      <c r="D89" s="311"/>
      <c r="E89" s="311"/>
      <c r="F89" s="311"/>
      <c r="G89" s="311"/>
      <c r="H89" s="311"/>
      <c r="I89" s="311"/>
      <c r="J89" s="311"/>
      <c r="K89" s="480"/>
      <c r="L89" s="480"/>
      <c r="M89" s="481"/>
      <c r="N89" s="480"/>
      <c r="O89" s="480"/>
      <c r="P89" s="480"/>
      <c r="Q89" s="480"/>
      <c r="R89" s="482"/>
      <c r="S89" s="477"/>
      <c r="T89" s="477"/>
      <c r="U89" s="477"/>
      <c r="Z89" s="1487" t="s">
        <v>375</v>
      </c>
      <c r="AA89" s="1488"/>
      <c r="AB89" s="1488"/>
      <c r="AC89" s="1488"/>
      <c r="AD89" s="1488"/>
      <c r="AE89" s="1488"/>
      <c r="AF89" s="1488"/>
      <c r="AG89" s="1488"/>
      <c r="AH89" s="1488"/>
      <c r="AI89" s="1488"/>
      <c r="AJ89" s="1488"/>
      <c r="AK89" s="1488"/>
      <c r="AL89" s="1488"/>
      <c r="AM89" s="1488"/>
      <c r="AN89" s="1488"/>
      <c r="AO89" s="1488"/>
      <c r="AP89" s="1488"/>
      <c r="AQ89" s="1488"/>
      <c r="AR89" s="1488"/>
      <c r="AS89" s="1488"/>
      <c r="AT89" s="1488"/>
      <c r="AU89" s="1488"/>
      <c r="AV89" s="1488"/>
      <c r="AW89" s="1488"/>
      <c r="AX89" s="1488"/>
      <c r="AY89" s="1488"/>
      <c r="AZ89" s="1488"/>
      <c r="BA89" s="1488"/>
    </row>
    <row r="90" spans="1:53" ht="13.5" hidden="1" customHeight="1">
      <c r="A90" s="478"/>
      <c r="B90" s="311"/>
      <c r="C90" s="460"/>
      <c r="D90" s="311"/>
      <c r="E90" s="311"/>
      <c r="F90" s="311"/>
      <c r="G90" s="311"/>
      <c r="H90" s="311"/>
      <c r="I90" s="311"/>
      <c r="J90" s="311"/>
      <c r="K90" s="480"/>
      <c r="L90" s="480"/>
      <c r="M90" s="481"/>
      <c r="N90" s="480"/>
      <c r="O90" s="480"/>
      <c r="P90" s="480"/>
      <c r="Q90" s="480"/>
      <c r="R90" s="480"/>
      <c r="S90" s="477"/>
      <c r="T90" s="477"/>
      <c r="U90" s="477"/>
      <c r="Z90" s="1487" t="s">
        <v>376</v>
      </c>
      <c r="AA90" s="1488"/>
      <c r="AB90" s="1488"/>
      <c r="AC90" s="1488"/>
      <c r="AD90" s="1488"/>
      <c r="AE90" s="1488"/>
      <c r="AF90" s="1488"/>
      <c r="AG90" s="1488"/>
      <c r="AH90" s="1488"/>
      <c r="AI90" s="1488"/>
      <c r="AJ90" s="1488"/>
      <c r="AK90" s="1488"/>
      <c r="AL90" s="1488"/>
      <c r="AM90" s="1488"/>
      <c r="AN90" s="1488"/>
      <c r="AO90" s="1492"/>
      <c r="AP90" s="1488"/>
      <c r="AQ90" s="1488"/>
      <c r="AR90" s="1488"/>
      <c r="AS90" s="1488"/>
      <c r="AT90" s="1488"/>
      <c r="AU90" s="1488"/>
      <c r="AV90" s="1488"/>
      <c r="AW90" s="1488"/>
      <c r="AX90" s="1488"/>
      <c r="AY90" s="1488"/>
      <c r="AZ90" s="1488"/>
      <c r="BA90" s="1488"/>
    </row>
    <row r="91" spans="1:53" ht="13.5" hidden="1" customHeight="1">
      <c r="A91" s="478"/>
      <c r="B91" s="311"/>
      <c r="C91" s="460"/>
      <c r="D91" s="311"/>
      <c r="E91" s="311"/>
      <c r="F91" s="311"/>
      <c r="G91" s="311"/>
      <c r="H91" s="311"/>
      <c r="I91" s="311"/>
      <c r="J91" s="311"/>
      <c r="K91" s="480"/>
      <c r="L91" s="480"/>
      <c r="M91" s="481"/>
      <c r="N91" s="480"/>
      <c r="O91" s="480"/>
      <c r="P91" s="480"/>
      <c r="Q91" s="480"/>
      <c r="R91" s="481"/>
      <c r="S91" s="477"/>
      <c r="T91" s="477"/>
      <c r="U91" s="477"/>
      <c r="Z91" s="1488"/>
      <c r="AA91" s="1488"/>
      <c r="AB91" s="1488"/>
      <c r="AC91" s="1488"/>
      <c r="AD91" s="1488"/>
      <c r="AE91" s="1488"/>
      <c r="AF91" s="1488"/>
      <c r="AG91" s="1488"/>
      <c r="AH91" s="1488"/>
      <c r="AI91" s="1488"/>
      <c r="AJ91" s="1488"/>
      <c r="AK91" s="1488"/>
      <c r="AL91" s="1488"/>
      <c r="AM91" s="1488"/>
      <c r="AN91" s="1488"/>
      <c r="AO91" s="1488"/>
      <c r="AP91" s="1488"/>
      <c r="AQ91" s="1488"/>
      <c r="AR91" s="1488"/>
      <c r="AS91" s="1488"/>
      <c r="AT91" s="1488"/>
      <c r="AU91" s="1488"/>
      <c r="AV91" s="1488"/>
      <c r="AW91" s="1488"/>
      <c r="AX91" s="1488"/>
      <c r="AY91" s="1488"/>
      <c r="AZ91" s="1488"/>
      <c r="BA91" s="1488"/>
    </row>
    <row r="92" spans="1:53" hidden="1">
      <c r="A92" s="478"/>
      <c r="B92" s="311"/>
      <c r="C92" s="311"/>
      <c r="D92" s="311"/>
      <c r="E92" s="311"/>
      <c r="F92" s="311"/>
      <c r="G92" s="311"/>
      <c r="H92" s="311"/>
      <c r="I92" s="311"/>
      <c r="J92" s="311"/>
      <c r="K92" s="480"/>
      <c r="L92" s="480"/>
      <c r="M92" s="481"/>
      <c r="N92" s="480"/>
      <c r="O92" s="480"/>
      <c r="P92" s="480"/>
      <c r="Q92" s="480"/>
      <c r="R92" s="480"/>
      <c r="S92" s="477"/>
      <c r="T92" s="477"/>
      <c r="U92" s="477"/>
      <c r="Z92" s="1493"/>
      <c r="AA92" s="1488"/>
      <c r="AB92" s="1488"/>
      <c r="AC92" s="1488"/>
      <c r="AD92" s="1488"/>
      <c r="AE92" s="1488"/>
      <c r="AF92" s="1488"/>
      <c r="AG92" s="1488"/>
      <c r="AH92" s="1488"/>
      <c r="AI92" s="1488"/>
      <c r="AJ92" s="1488"/>
      <c r="AK92" s="1488"/>
      <c r="AL92" s="1488"/>
      <c r="AM92" s="1488"/>
      <c r="AN92" s="1488"/>
      <c r="AO92" s="1488"/>
      <c r="AP92" s="1488"/>
      <c r="AQ92" s="1488"/>
      <c r="AR92" s="1488"/>
      <c r="AS92" s="1488"/>
      <c r="AT92" s="1488"/>
      <c r="AU92" s="1488"/>
      <c r="AV92" s="1488"/>
      <c r="AW92" s="1488"/>
      <c r="AX92" s="1488"/>
      <c r="AY92" s="1488"/>
      <c r="AZ92" s="1488"/>
      <c r="BA92" s="1488"/>
    </row>
    <row r="93" spans="1:53" hidden="1">
      <c r="A93" s="478"/>
      <c r="B93" s="311"/>
      <c r="C93" s="311"/>
      <c r="D93" s="311"/>
      <c r="E93" s="311"/>
      <c r="F93" s="311"/>
      <c r="G93" s="311"/>
      <c r="H93" s="311"/>
      <c r="I93" s="311"/>
      <c r="J93" s="311"/>
      <c r="K93" s="480"/>
      <c r="L93" s="480"/>
      <c r="M93" s="481"/>
      <c r="N93" s="480"/>
      <c r="O93" s="480"/>
      <c r="P93" s="480"/>
      <c r="Q93" s="480"/>
      <c r="R93" s="480"/>
      <c r="S93" s="477"/>
      <c r="T93" s="477"/>
      <c r="U93" s="477"/>
      <c r="Z93" s="1494"/>
      <c r="AA93" s="1488"/>
      <c r="AB93" s="1488"/>
      <c r="AC93" s="1488"/>
      <c r="AD93" s="1488"/>
      <c r="AE93" s="1488"/>
      <c r="AF93" s="1488"/>
      <c r="AG93" s="1488"/>
      <c r="AH93" s="1488"/>
      <c r="AI93" s="1488"/>
      <c r="AJ93" s="1488"/>
      <c r="AK93" s="1488"/>
      <c r="AL93" s="1488"/>
      <c r="AM93" s="1488"/>
      <c r="AN93" s="1488"/>
      <c r="AO93" s="1488"/>
      <c r="AP93" s="1488"/>
      <c r="AQ93" s="1488"/>
      <c r="AR93" s="1488"/>
      <c r="AS93" s="1488"/>
      <c r="AT93" s="1488"/>
      <c r="AU93" s="1488"/>
      <c r="AV93" s="1488"/>
      <c r="AW93" s="1488"/>
      <c r="AX93" s="1488"/>
      <c r="AY93" s="1488"/>
      <c r="AZ93" s="1488"/>
      <c r="BA93" s="1488"/>
    </row>
    <row r="94" spans="1:53" hidden="1">
      <c r="A94" s="478"/>
      <c r="B94" s="460"/>
      <c r="C94" s="311"/>
      <c r="D94" s="311"/>
      <c r="E94" s="311"/>
      <c r="F94" s="311"/>
      <c r="G94" s="311"/>
      <c r="H94" s="311"/>
      <c r="I94" s="311"/>
      <c r="J94" s="311"/>
      <c r="K94" s="480"/>
      <c r="L94" s="480"/>
      <c r="M94" s="481"/>
      <c r="N94" s="480"/>
      <c r="O94" s="480"/>
      <c r="P94" s="480"/>
      <c r="Q94" s="480"/>
      <c r="R94" s="480"/>
      <c r="S94" s="477"/>
      <c r="T94" s="477"/>
      <c r="U94" s="477"/>
      <c r="Z94" s="1494"/>
      <c r="AA94" s="1488"/>
      <c r="AB94" s="1488"/>
      <c r="AC94" s="1488"/>
      <c r="AD94" s="1488"/>
      <c r="AE94" s="1488"/>
      <c r="AF94" s="1488"/>
      <c r="AG94" s="1488"/>
      <c r="AH94" s="1488"/>
      <c r="AI94" s="1488"/>
      <c r="AJ94" s="1488"/>
      <c r="AK94" s="1488"/>
      <c r="AL94" s="1488"/>
      <c r="AM94" s="1488"/>
      <c r="AN94" s="1488"/>
      <c r="AO94" s="1488"/>
      <c r="AP94" s="1488"/>
      <c r="AQ94" s="1488"/>
      <c r="AR94" s="1488"/>
      <c r="AS94" s="1488"/>
      <c r="AT94" s="1488"/>
      <c r="AU94" s="1488"/>
      <c r="AV94" s="1488"/>
      <c r="AW94" s="1488"/>
      <c r="AX94" s="1488"/>
      <c r="AY94" s="1488"/>
      <c r="AZ94" s="1488"/>
      <c r="BA94" s="1488"/>
    </row>
    <row r="95" spans="1:53" hidden="1">
      <c r="A95" s="478"/>
      <c r="B95" s="311"/>
      <c r="C95" s="311"/>
      <c r="D95" s="311"/>
      <c r="E95" s="311"/>
      <c r="F95" s="311"/>
      <c r="G95" s="311"/>
      <c r="H95" s="311"/>
      <c r="I95" s="311"/>
      <c r="J95" s="311"/>
      <c r="K95" s="480"/>
      <c r="L95" s="480"/>
      <c r="M95" s="481"/>
      <c r="N95" s="480"/>
      <c r="O95" s="480"/>
      <c r="P95" s="480"/>
      <c r="Q95" s="480"/>
      <c r="R95" s="480"/>
      <c r="S95" s="477"/>
      <c r="T95" s="477"/>
      <c r="U95" s="477"/>
      <c r="Z95" s="1494"/>
      <c r="AA95" s="1488"/>
      <c r="AB95" s="1488"/>
      <c r="AC95" s="1488"/>
      <c r="AD95" s="1488"/>
      <c r="AE95" s="1488"/>
      <c r="AF95" s="1488"/>
      <c r="AG95" s="1488"/>
      <c r="AH95" s="1488"/>
      <c r="AI95" s="1488"/>
      <c r="AJ95" s="1488"/>
      <c r="AK95" s="1488"/>
      <c r="AL95" s="1488"/>
      <c r="AM95" s="1488"/>
      <c r="AN95" s="1488"/>
      <c r="AO95" s="1488"/>
      <c r="AP95" s="1488"/>
      <c r="AQ95" s="1488"/>
      <c r="AR95" s="1488"/>
      <c r="AS95" s="1488"/>
      <c r="AT95" s="1488"/>
      <c r="AU95" s="1488"/>
      <c r="AV95" s="1488"/>
      <c r="AW95" s="1488"/>
      <c r="AX95" s="1488"/>
      <c r="AY95" s="1488"/>
      <c r="AZ95" s="1488"/>
      <c r="BA95" s="1488"/>
    </row>
    <row r="96" spans="1:53" hidden="1">
      <c r="A96" s="478"/>
      <c r="B96" s="311"/>
      <c r="C96" s="311"/>
      <c r="D96" s="311"/>
      <c r="E96" s="311"/>
      <c r="F96" s="311"/>
      <c r="G96" s="311"/>
      <c r="H96" s="311"/>
      <c r="I96" s="311"/>
      <c r="J96" s="311"/>
      <c r="K96" s="480"/>
      <c r="L96" s="480"/>
      <c r="M96" s="481"/>
      <c r="N96" s="480"/>
      <c r="O96" s="480"/>
      <c r="P96" s="480"/>
      <c r="Q96" s="480"/>
      <c r="R96" s="480"/>
      <c r="S96" s="477"/>
      <c r="T96" s="477"/>
      <c r="U96" s="477"/>
      <c r="Z96" s="1488"/>
      <c r="AA96" s="1488"/>
      <c r="AB96" s="1488"/>
      <c r="AC96" s="1488"/>
      <c r="AD96" s="1488"/>
      <c r="AE96" s="1488"/>
      <c r="AF96" s="1488"/>
      <c r="AG96" s="1488"/>
      <c r="AH96" s="1488"/>
      <c r="AI96" s="1488"/>
      <c r="AJ96" s="1488"/>
      <c r="AK96" s="1488"/>
      <c r="AL96" s="1488"/>
      <c r="AM96" s="1488"/>
      <c r="AN96" s="1488"/>
      <c r="AO96" s="1488"/>
      <c r="AP96" s="1488"/>
      <c r="AQ96" s="1488"/>
      <c r="AR96" s="1488"/>
      <c r="AS96" s="1488"/>
      <c r="AT96" s="1488"/>
      <c r="AU96" s="1488"/>
      <c r="AV96" s="1488"/>
      <c r="AW96" s="1488"/>
      <c r="AX96" s="1488"/>
      <c r="AY96" s="1488"/>
      <c r="AZ96" s="1488"/>
      <c r="BA96" s="1488"/>
    </row>
    <row r="97" spans="1:133">
      <c r="A97" s="478"/>
      <c r="B97" s="311"/>
      <c r="C97" s="311"/>
      <c r="D97" s="311"/>
      <c r="E97" s="311"/>
      <c r="F97" s="311"/>
      <c r="G97" s="311"/>
      <c r="H97" s="311"/>
      <c r="I97" s="311"/>
      <c r="J97" s="311"/>
      <c r="K97" s="480"/>
      <c r="L97" s="480"/>
      <c r="M97" s="481"/>
      <c r="N97" s="480"/>
      <c r="O97" s="480"/>
      <c r="P97" s="480"/>
      <c r="Q97" s="480"/>
      <c r="R97" s="480"/>
      <c r="S97" s="477"/>
      <c r="T97" s="477"/>
      <c r="U97" s="477"/>
    </row>
    <row r="98" spans="1:133" s="488" customFormat="1">
      <c r="A98" s="478"/>
      <c r="B98" s="478"/>
      <c r="C98" s="478"/>
      <c r="D98" s="478"/>
      <c r="E98" s="478"/>
      <c r="F98" s="478"/>
      <c r="G98" s="478"/>
      <c r="H98" s="478"/>
      <c r="I98" s="478"/>
      <c r="J98" s="478"/>
      <c r="K98" s="483"/>
      <c r="L98" s="483"/>
      <c r="M98" s="484"/>
      <c r="N98" s="483"/>
      <c r="O98" s="483"/>
      <c r="P98" s="483"/>
      <c r="Q98" s="483"/>
      <c r="R98" s="483"/>
      <c r="S98" s="485"/>
      <c r="T98" s="485"/>
      <c r="U98" s="485"/>
      <c r="V98" s="478"/>
      <c r="W98" s="478"/>
      <c r="X98" s="478"/>
      <c r="Y98" s="478"/>
      <c r="Z98" s="478"/>
      <c r="AA98" s="486"/>
      <c r="AB98" s="486"/>
      <c r="AC98" s="486"/>
      <c r="AD98" s="486"/>
      <c r="AE98" s="486"/>
      <c r="AF98" s="486"/>
      <c r="AG98" s="486"/>
      <c r="AH98" s="486"/>
      <c r="AI98" s="486"/>
      <c r="AJ98" s="486"/>
      <c r="AK98" s="486"/>
      <c r="AL98" s="486"/>
      <c r="AM98" s="486"/>
      <c r="AN98" s="486"/>
      <c r="AO98" s="486"/>
      <c r="AP98" s="486"/>
      <c r="AQ98" s="486"/>
      <c r="AR98" s="486"/>
      <c r="AS98" s="486"/>
      <c r="AT98" s="486"/>
      <c r="AU98" s="486"/>
      <c r="AV98" s="486"/>
      <c r="AW98" s="486"/>
      <c r="AX98" s="486"/>
      <c r="AY98" s="486"/>
      <c r="AZ98" s="486"/>
      <c r="BA98" s="486"/>
      <c r="BB98" s="487"/>
      <c r="BC98" s="487"/>
      <c r="BD98" s="487"/>
      <c r="BE98" s="487"/>
      <c r="BF98" s="487"/>
      <c r="BG98" s="487"/>
      <c r="BH98" s="487"/>
      <c r="BI98" s="487"/>
      <c r="BJ98" s="487"/>
      <c r="BK98" s="487"/>
      <c r="BL98" s="487"/>
      <c r="BM98" s="487"/>
      <c r="BN98" s="487"/>
      <c r="BO98" s="487"/>
      <c r="BP98" s="487"/>
      <c r="BQ98" s="487"/>
      <c r="BR98" s="487"/>
      <c r="BS98" s="487"/>
      <c r="BT98" s="487"/>
      <c r="BU98" s="487"/>
      <c r="BV98" s="487"/>
      <c r="BW98" s="487"/>
      <c r="BX98" s="487"/>
      <c r="BY98" s="487"/>
      <c r="BZ98" s="487"/>
      <c r="CA98" s="487"/>
      <c r="CB98" s="487"/>
      <c r="CC98" s="487"/>
      <c r="CD98" s="487"/>
      <c r="CE98" s="487"/>
      <c r="CF98" s="487"/>
      <c r="CG98" s="487"/>
      <c r="CH98" s="487"/>
      <c r="CI98" s="487"/>
      <c r="CJ98" s="487"/>
      <c r="CK98" s="487"/>
      <c r="CL98" s="487"/>
      <c r="CM98" s="487"/>
      <c r="CN98" s="487"/>
      <c r="CO98" s="487"/>
      <c r="CP98" s="487"/>
      <c r="CQ98" s="487"/>
      <c r="CR98" s="487"/>
      <c r="CS98" s="487"/>
      <c r="CT98" s="487"/>
      <c r="CU98" s="487"/>
      <c r="CV98" s="487"/>
      <c r="CW98" s="487"/>
      <c r="CX98" s="487"/>
      <c r="CY98" s="487"/>
      <c r="CZ98" s="487"/>
      <c r="DA98" s="487"/>
      <c r="DB98" s="487"/>
      <c r="DC98" s="487"/>
      <c r="DD98" s="487"/>
      <c r="DE98" s="487"/>
      <c r="DF98" s="487"/>
      <c r="DG98" s="487"/>
      <c r="DH98" s="487"/>
      <c r="DI98" s="487"/>
      <c r="DJ98" s="487"/>
      <c r="DK98" s="487"/>
      <c r="DL98" s="487"/>
      <c r="DM98" s="487"/>
      <c r="DN98" s="487"/>
      <c r="DO98" s="487"/>
      <c r="DP98" s="487"/>
      <c r="DQ98" s="487"/>
      <c r="DR98" s="487"/>
      <c r="DS98" s="487"/>
      <c r="DT98" s="487"/>
      <c r="DU98" s="487"/>
      <c r="DV98" s="487"/>
      <c r="DW98" s="487"/>
      <c r="DX98" s="487"/>
      <c r="DY98" s="487"/>
      <c r="DZ98" s="487"/>
      <c r="EA98" s="487"/>
      <c r="EB98" s="487"/>
      <c r="EC98" s="487"/>
    </row>
    <row r="99" spans="1:133">
      <c r="A99" s="478"/>
      <c r="B99" s="311"/>
      <c r="C99" s="311"/>
      <c r="D99" s="311"/>
      <c r="E99" s="311"/>
      <c r="F99" s="311"/>
      <c r="G99" s="311"/>
      <c r="H99" s="311"/>
      <c r="I99" s="311"/>
      <c r="J99" s="311"/>
      <c r="K99" s="480"/>
      <c r="L99" s="480"/>
      <c r="M99" s="481"/>
      <c r="N99" s="480"/>
      <c r="O99" s="480"/>
      <c r="P99" s="480"/>
      <c r="Q99" s="480"/>
      <c r="R99" s="480"/>
      <c r="S99" s="477"/>
      <c r="T99" s="477"/>
      <c r="U99" s="477"/>
    </row>
    <row r="100" spans="1:133" s="491" customFormat="1">
      <c r="A100" s="478"/>
      <c r="B100" s="460"/>
      <c r="C100" s="311"/>
      <c r="D100" s="311"/>
      <c r="E100" s="311"/>
      <c r="F100" s="311"/>
      <c r="G100" s="311"/>
      <c r="H100" s="311"/>
      <c r="I100" s="311"/>
      <c r="J100" s="311"/>
      <c r="K100" s="480"/>
      <c r="L100" s="480"/>
      <c r="M100" s="481"/>
      <c r="N100" s="480"/>
      <c r="O100" s="480"/>
      <c r="P100" s="480"/>
      <c r="Q100" s="480"/>
      <c r="R100" s="480"/>
      <c r="S100" s="477"/>
      <c r="T100" s="477"/>
      <c r="U100" s="477"/>
      <c r="V100" s="311"/>
      <c r="W100" s="311"/>
      <c r="X100" s="311"/>
      <c r="Y100" s="311"/>
      <c r="Z100" s="311"/>
      <c r="AA100" s="489"/>
      <c r="AB100" s="489"/>
      <c r="AC100" s="489"/>
      <c r="AD100" s="489"/>
      <c r="AE100" s="489"/>
      <c r="AF100" s="489"/>
      <c r="AG100" s="489"/>
      <c r="AH100" s="489"/>
      <c r="AI100" s="489"/>
      <c r="AJ100" s="489"/>
      <c r="AK100" s="489"/>
      <c r="AL100" s="489"/>
      <c r="AM100" s="489"/>
      <c r="AN100" s="489"/>
      <c r="AO100" s="489"/>
      <c r="AP100" s="489"/>
      <c r="AQ100" s="489"/>
      <c r="AR100" s="489"/>
      <c r="AS100" s="489"/>
      <c r="AT100" s="489"/>
      <c r="AU100" s="489"/>
      <c r="AV100" s="489"/>
      <c r="AW100" s="489"/>
      <c r="AX100" s="489"/>
      <c r="AY100" s="489"/>
      <c r="AZ100" s="489"/>
      <c r="BA100" s="489"/>
      <c r="BB100" s="490"/>
      <c r="BC100" s="490"/>
      <c r="BD100" s="490"/>
      <c r="BE100" s="490"/>
      <c r="BF100" s="490"/>
      <c r="BG100" s="490"/>
      <c r="BH100" s="490"/>
      <c r="BI100" s="490"/>
      <c r="BJ100" s="490"/>
      <c r="BK100" s="490"/>
      <c r="BL100" s="490"/>
      <c r="BM100" s="490"/>
      <c r="BN100" s="490"/>
      <c r="BO100" s="490"/>
      <c r="BP100" s="490"/>
      <c r="BQ100" s="490"/>
      <c r="BR100" s="490"/>
      <c r="BS100" s="490"/>
      <c r="BT100" s="490"/>
      <c r="BU100" s="490"/>
      <c r="BV100" s="490"/>
      <c r="BW100" s="490"/>
      <c r="BX100" s="490"/>
      <c r="BY100" s="490"/>
      <c r="BZ100" s="490"/>
      <c r="CA100" s="490"/>
      <c r="CB100" s="490"/>
      <c r="CC100" s="490"/>
      <c r="CD100" s="490"/>
      <c r="CE100" s="490"/>
      <c r="CF100" s="490"/>
      <c r="CG100" s="490"/>
      <c r="CH100" s="490"/>
      <c r="CI100" s="490"/>
      <c r="CJ100" s="490"/>
      <c r="CK100" s="490"/>
      <c r="CL100" s="490"/>
      <c r="CM100" s="490"/>
      <c r="CN100" s="490"/>
      <c r="CO100" s="490"/>
      <c r="CP100" s="490"/>
      <c r="CQ100" s="490"/>
      <c r="CR100" s="490"/>
      <c r="CS100" s="490"/>
      <c r="CT100" s="490"/>
      <c r="CU100" s="490"/>
      <c r="CV100" s="490"/>
      <c r="CW100" s="490"/>
      <c r="CX100" s="490"/>
      <c r="CY100" s="490"/>
      <c r="CZ100" s="490"/>
      <c r="DA100" s="490"/>
      <c r="DB100" s="490"/>
      <c r="DC100" s="490"/>
      <c r="DD100" s="490"/>
      <c r="DE100" s="490"/>
      <c r="DF100" s="490"/>
      <c r="DG100" s="490"/>
      <c r="DH100" s="490"/>
      <c r="DI100" s="490"/>
      <c r="DJ100" s="490"/>
      <c r="DK100" s="490"/>
      <c r="DL100" s="490"/>
      <c r="DM100" s="490"/>
      <c r="DN100" s="490"/>
      <c r="DO100" s="490"/>
      <c r="DP100" s="490"/>
      <c r="DQ100" s="490"/>
      <c r="DR100" s="490"/>
      <c r="DS100" s="490"/>
      <c r="DT100" s="490"/>
      <c r="DU100" s="490"/>
      <c r="DV100" s="490"/>
      <c r="DW100" s="490"/>
      <c r="DX100" s="490"/>
      <c r="DY100" s="490"/>
      <c r="DZ100" s="490"/>
      <c r="EA100" s="490"/>
      <c r="EB100" s="490"/>
      <c r="EC100" s="490"/>
    </row>
    <row r="101" spans="1:133" ht="13.5" customHeight="1">
      <c r="A101" s="478"/>
      <c r="B101" s="311"/>
      <c r="C101" s="311"/>
      <c r="D101" s="311"/>
      <c r="E101" s="311"/>
      <c r="F101" s="311"/>
      <c r="G101" s="311"/>
      <c r="H101" s="311"/>
      <c r="I101" s="311"/>
      <c r="J101" s="311"/>
      <c r="K101" s="480"/>
      <c r="L101" s="480"/>
      <c r="M101" s="481"/>
      <c r="N101" s="480"/>
      <c r="O101" s="480"/>
      <c r="P101" s="480"/>
      <c r="Q101" s="480"/>
      <c r="R101" s="480"/>
      <c r="S101" s="477"/>
      <c r="T101" s="477"/>
      <c r="U101" s="477"/>
    </row>
    <row r="102" spans="1:133" s="491" customFormat="1">
      <c r="A102" s="478"/>
      <c r="B102" s="460"/>
      <c r="C102" s="311"/>
      <c r="D102" s="311"/>
      <c r="E102" s="311"/>
      <c r="F102" s="311"/>
      <c r="G102" s="311"/>
      <c r="H102" s="311"/>
      <c r="I102" s="311"/>
      <c r="J102" s="311"/>
      <c r="K102" s="480"/>
      <c r="L102" s="480"/>
      <c r="M102" s="481"/>
      <c r="N102" s="480"/>
      <c r="O102" s="480"/>
      <c r="P102" s="480"/>
      <c r="Q102" s="480"/>
      <c r="R102" s="480"/>
      <c r="S102" s="477"/>
      <c r="T102" s="477"/>
      <c r="U102" s="477"/>
      <c r="V102" s="311"/>
      <c r="W102" s="311"/>
      <c r="X102" s="311"/>
      <c r="Y102" s="311"/>
      <c r="Z102" s="311"/>
      <c r="AA102" s="489"/>
      <c r="AB102" s="489"/>
      <c r="AC102" s="489"/>
      <c r="AD102" s="489"/>
      <c r="AE102" s="489"/>
      <c r="AF102" s="489"/>
      <c r="AG102" s="489"/>
      <c r="AH102" s="489"/>
      <c r="AI102" s="489"/>
      <c r="AJ102" s="489"/>
      <c r="AK102" s="489"/>
      <c r="AL102" s="489"/>
      <c r="AM102" s="489"/>
      <c r="AN102" s="489"/>
      <c r="AO102" s="489"/>
      <c r="AP102" s="489"/>
      <c r="AQ102" s="489"/>
      <c r="AR102" s="489"/>
      <c r="AS102" s="489"/>
      <c r="AT102" s="489"/>
      <c r="AU102" s="489"/>
      <c r="AV102" s="489"/>
      <c r="AW102" s="489"/>
      <c r="AX102" s="489"/>
      <c r="AY102" s="489"/>
      <c r="AZ102" s="489"/>
      <c r="BA102" s="489"/>
      <c r="BB102" s="490"/>
      <c r="BC102" s="490"/>
      <c r="BD102" s="490"/>
      <c r="BE102" s="490"/>
      <c r="BF102" s="490"/>
      <c r="BG102" s="490"/>
      <c r="BH102" s="490"/>
      <c r="BI102" s="490"/>
      <c r="BJ102" s="490"/>
      <c r="BK102" s="490"/>
      <c r="BL102" s="490"/>
      <c r="BM102" s="490"/>
      <c r="BN102" s="490"/>
      <c r="BO102" s="490"/>
      <c r="BP102" s="490"/>
      <c r="BQ102" s="490"/>
      <c r="BR102" s="490"/>
      <c r="BS102" s="490"/>
      <c r="BT102" s="490"/>
      <c r="BU102" s="490"/>
      <c r="BV102" s="490"/>
      <c r="BW102" s="490"/>
      <c r="BX102" s="490"/>
      <c r="BY102" s="490"/>
      <c r="BZ102" s="490"/>
      <c r="CA102" s="490"/>
      <c r="CB102" s="490"/>
      <c r="CC102" s="490"/>
      <c r="CD102" s="490"/>
      <c r="CE102" s="490"/>
      <c r="CF102" s="490"/>
      <c r="CG102" s="490"/>
      <c r="CH102" s="490"/>
      <c r="CI102" s="490"/>
      <c r="CJ102" s="490"/>
      <c r="CK102" s="490"/>
      <c r="CL102" s="490"/>
      <c r="CM102" s="490"/>
      <c r="CN102" s="490"/>
      <c r="CO102" s="490"/>
      <c r="CP102" s="490"/>
      <c r="CQ102" s="490"/>
      <c r="CR102" s="490"/>
      <c r="CS102" s="490"/>
      <c r="CT102" s="490"/>
      <c r="CU102" s="490"/>
      <c r="CV102" s="490"/>
      <c r="CW102" s="490"/>
      <c r="CX102" s="490"/>
      <c r="CY102" s="490"/>
      <c r="CZ102" s="490"/>
      <c r="DA102" s="490"/>
      <c r="DB102" s="490"/>
      <c r="DC102" s="490"/>
      <c r="DD102" s="490"/>
      <c r="DE102" s="490"/>
      <c r="DF102" s="490"/>
      <c r="DG102" s="490"/>
      <c r="DH102" s="490"/>
      <c r="DI102" s="490"/>
      <c r="DJ102" s="490"/>
      <c r="DK102" s="490"/>
      <c r="DL102" s="490"/>
      <c r="DM102" s="490"/>
      <c r="DN102" s="490"/>
      <c r="DO102" s="490"/>
      <c r="DP102" s="490"/>
      <c r="DQ102" s="490"/>
      <c r="DR102" s="490"/>
      <c r="DS102" s="490"/>
      <c r="DT102" s="490"/>
      <c r="DU102" s="490"/>
      <c r="DV102" s="490"/>
      <c r="DW102" s="490"/>
      <c r="DX102" s="490"/>
      <c r="DY102" s="490"/>
      <c r="DZ102" s="490"/>
      <c r="EA102" s="490"/>
      <c r="EB102" s="490"/>
      <c r="EC102" s="490"/>
    </row>
    <row r="103" spans="1:133">
      <c r="A103" s="478"/>
      <c r="B103" s="311"/>
      <c r="C103" s="311"/>
      <c r="D103" s="311"/>
      <c r="E103" s="311"/>
      <c r="F103" s="311"/>
      <c r="G103" s="311"/>
      <c r="H103" s="311"/>
      <c r="I103" s="311"/>
      <c r="J103" s="311"/>
      <c r="K103" s="480"/>
      <c r="L103" s="480"/>
      <c r="M103" s="481"/>
      <c r="N103" s="480"/>
      <c r="O103" s="480"/>
      <c r="P103" s="480"/>
      <c r="Q103" s="480"/>
      <c r="R103" s="480"/>
      <c r="S103" s="477"/>
      <c r="T103" s="477"/>
      <c r="U103" s="477"/>
    </row>
    <row r="104" spans="1:133" s="491" customFormat="1">
      <c r="A104" s="478"/>
      <c r="B104" s="460"/>
      <c r="C104" s="311"/>
      <c r="D104" s="311"/>
      <c r="E104" s="311"/>
      <c r="F104" s="311"/>
      <c r="G104" s="311"/>
      <c r="H104" s="311"/>
      <c r="I104" s="311"/>
      <c r="J104" s="311"/>
      <c r="K104" s="480"/>
      <c r="L104" s="480"/>
      <c r="M104" s="481"/>
      <c r="N104" s="480"/>
      <c r="O104" s="480"/>
      <c r="P104" s="480"/>
      <c r="Q104" s="480"/>
      <c r="R104" s="480"/>
      <c r="S104" s="477"/>
      <c r="T104" s="477"/>
      <c r="U104" s="477"/>
      <c r="V104" s="311"/>
      <c r="W104" s="311"/>
      <c r="X104" s="311"/>
      <c r="Y104" s="311"/>
      <c r="Z104" s="311"/>
      <c r="AA104" s="489"/>
      <c r="AB104" s="489"/>
      <c r="AC104" s="489"/>
      <c r="AD104" s="489"/>
      <c r="AE104" s="489"/>
      <c r="AF104" s="489"/>
      <c r="AG104" s="489"/>
      <c r="AH104" s="489"/>
      <c r="AI104" s="489"/>
      <c r="AJ104" s="489"/>
      <c r="AK104" s="489"/>
      <c r="AL104" s="489"/>
      <c r="AM104" s="489"/>
      <c r="AN104" s="489"/>
      <c r="AO104" s="489"/>
      <c r="AP104" s="489"/>
      <c r="AQ104" s="489"/>
      <c r="AR104" s="489"/>
      <c r="AS104" s="489"/>
      <c r="AT104" s="489"/>
      <c r="AU104" s="489"/>
      <c r="AV104" s="489"/>
      <c r="AW104" s="489"/>
      <c r="AX104" s="489"/>
      <c r="AY104" s="489"/>
      <c r="AZ104" s="489"/>
      <c r="BA104" s="489"/>
      <c r="BB104" s="490"/>
      <c r="BC104" s="490"/>
      <c r="BD104" s="490"/>
      <c r="BE104" s="490"/>
      <c r="BF104" s="490"/>
      <c r="BG104" s="490"/>
      <c r="BH104" s="490"/>
      <c r="BI104" s="490"/>
      <c r="BJ104" s="490"/>
      <c r="BK104" s="490"/>
      <c r="BL104" s="490"/>
      <c r="BM104" s="490"/>
      <c r="BN104" s="490"/>
      <c r="BO104" s="490"/>
      <c r="BP104" s="490"/>
      <c r="BQ104" s="490"/>
      <c r="BR104" s="490"/>
      <c r="BS104" s="490"/>
      <c r="BT104" s="490"/>
      <c r="BU104" s="490"/>
      <c r="BV104" s="490"/>
      <c r="BW104" s="490"/>
      <c r="BX104" s="490"/>
      <c r="BY104" s="490"/>
      <c r="BZ104" s="490"/>
      <c r="CA104" s="490"/>
      <c r="CB104" s="490"/>
      <c r="CC104" s="490"/>
      <c r="CD104" s="490"/>
      <c r="CE104" s="490"/>
      <c r="CF104" s="490"/>
      <c r="CG104" s="490"/>
      <c r="CH104" s="490"/>
      <c r="CI104" s="490"/>
      <c r="CJ104" s="490"/>
      <c r="CK104" s="490"/>
      <c r="CL104" s="490"/>
      <c r="CM104" s="490"/>
      <c r="CN104" s="490"/>
      <c r="CO104" s="490"/>
      <c r="CP104" s="490"/>
      <c r="CQ104" s="490"/>
      <c r="CR104" s="490"/>
      <c r="CS104" s="490"/>
      <c r="CT104" s="490"/>
      <c r="CU104" s="490"/>
      <c r="CV104" s="490"/>
      <c r="CW104" s="490"/>
      <c r="CX104" s="490"/>
      <c r="CY104" s="490"/>
      <c r="CZ104" s="490"/>
      <c r="DA104" s="490"/>
      <c r="DB104" s="490"/>
      <c r="DC104" s="490"/>
      <c r="DD104" s="490"/>
      <c r="DE104" s="490"/>
      <c r="DF104" s="490"/>
      <c r="DG104" s="490"/>
      <c r="DH104" s="490"/>
      <c r="DI104" s="490"/>
      <c r="DJ104" s="490"/>
      <c r="DK104" s="490"/>
      <c r="DL104" s="490"/>
      <c r="DM104" s="490"/>
      <c r="DN104" s="490"/>
      <c r="DO104" s="490"/>
      <c r="DP104" s="490"/>
      <c r="DQ104" s="490"/>
      <c r="DR104" s="490"/>
      <c r="DS104" s="490"/>
      <c r="DT104" s="490"/>
      <c r="DU104" s="490"/>
      <c r="DV104" s="490"/>
      <c r="DW104" s="490"/>
      <c r="DX104" s="490"/>
      <c r="DY104" s="490"/>
      <c r="DZ104" s="490"/>
      <c r="EA104" s="490"/>
      <c r="EB104" s="490"/>
      <c r="EC104" s="490"/>
    </row>
    <row r="105" spans="1:133">
      <c r="A105" s="478"/>
      <c r="B105" s="311"/>
      <c r="C105" s="311"/>
      <c r="D105" s="311"/>
      <c r="E105" s="311"/>
      <c r="F105" s="311"/>
      <c r="G105" s="311"/>
      <c r="H105" s="311"/>
      <c r="I105" s="311"/>
      <c r="J105" s="311"/>
      <c r="K105" s="480"/>
      <c r="L105" s="480"/>
      <c r="M105" s="481"/>
      <c r="N105" s="480"/>
      <c r="O105" s="480"/>
      <c r="P105" s="480"/>
      <c r="Q105" s="480"/>
      <c r="R105" s="480"/>
      <c r="S105" s="477"/>
      <c r="T105" s="477"/>
      <c r="U105" s="477"/>
    </row>
    <row r="106" spans="1:133" s="491" customFormat="1">
      <c r="A106" s="478"/>
      <c r="B106" s="460"/>
      <c r="C106" s="311"/>
      <c r="D106" s="311"/>
      <c r="E106" s="311"/>
      <c r="F106" s="311"/>
      <c r="G106" s="311"/>
      <c r="H106" s="311"/>
      <c r="I106" s="311"/>
      <c r="J106" s="311"/>
      <c r="K106" s="480"/>
      <c r="L106" s="480"/>
      <c r="M106" s="481"/>
      <c r="N106" s="480"/>
      <c r="O106" s="480"/>
      <c r="P106" s="480"/>
      <c r="Q106" s="480"/>
      <c r="R106" s="480"/>
      <c r="S106" s="477"/>
      <c r="T106" s="477"/>
      <c r="U106" s="477"/>
      <c r="V106" s="311"/>
      <c r="W106" s="311"/>
      <c r="X106" s="311"/>
      <c r="Y106" s="311"/>
      <c r="Z106" s="311"/>
      <c r="AA106" s="489"/>
      <c r="AB106" s="489"/>
      <c r="AC106" s="489"/>
      <c r="AD106" s="489"/>
      <c r="AE106" s="489"/>
      <c r="AF106" s="489"/>
      <c r="AG106" s="489"/>
      <c r="AH106" s="489"/>
      <c r="AI106" s="489"/>
      <c r="AJ106" s="489"/>
      <c r="AK106" s="489"/>
      <c r="AL106" s="489"/>
      <c r="AM106" s="489"/>
      <c r="AN106" s="489"/>
      <c r="AO106" s="489"/>
      <c r="AP106" s="489"/>
      <c r="AQ106" s="489"/>
      <c r="AR106" s="489"/>
      <c r="AS106" s="489"/>
      <c r="AT106" s="489"/>
      <c r="AU106" s="489"/>
      <c r="AV106" s="489"/>
      <c r="AW106" s="489"/>
      <c r="AX106" s="489"/>
      <c r="AY106" s="489"/>
      <c r="AZ106" s="489"/>
      <c r="BA106" s="489"/>
      <c r="BB106" s="490"/>
      <c r="BC106" s="490"/>
      <c r="BD106" s="490"/>
      <c r="BE106" s="490"/>
      <c r="BF106" s="490"/>
      <c r="BG106" s="490"/>
      <c r="BH106" s="490"/>
      <c r="BI106" s="490"/>
      <c r="BJ106" s="490"/>
      <c r="BK106" s="490"/>
      <c r="BL106" s="490"/>
      <c r="BM106" s="490"/>
      <c r="BN106" s="490"/>
      <c r="BO106" s="490"/>
      <c r="BP106" s="490"/>
      <c r="BQ106" s="490"/>
      <c r="BR106" s="490"/>
      <c r="BS106" s="490"/>
      <c r="BT106" s="490"/>
      <c r="BU106" s="490"/>
      <c r="BV106" s="490"/>
      <c r="BW106" s="490"/>
      <c r="BX106" s="490"/>
      <c r="BY106" s="490"/>
      <c r="BZ106" s="490"/>
      <c r="CA106" s="490"/>
      <c r="CB106" s="490"/>
      <c r="CC106" s="490"/>
      <c r="CD106" s="490"/>
      <c r="CE106" s="490"/>
      <c r="CF106" s="490"/>
      <c r="CG106" s="490"/>
      <c r="CH106" s="490"/>
      <c r="CI106" s="490"/>
      <c r="CJ106" s="490"/>
      <c r="CK106" s="490"/>
      <c r="CL106" s="490"/>
      <c r="CM106" s="490"/>
      <c r="CN106" s="490"/>
      <c r="CO106" s="490"/>
      <c r="CP106" s="490"/>
      <c r="CQ106" s="490"/>
      <c r="CR106" s="490"/>
      <c r="CS106" s="490"/>
      <c r="CT106" s="490"/>
      <c r="CU106" s="490"/>
      <c r="CV106" s="490"/>
      <c r="CW106" s="490"/>
      <c r="CX106" s="490"/>
      <c r="CY106" s="490"/>
      <c r="CZ106" s="490"/>
      <c r="DA106" s="490"/>
      <c r="DB106" s="490"/>
      <c r="DC106" s="490"/>
      <c r="DD106" s="490"/>
      <c r="DE106" s="490"/>
      <c r="DF106" s="490"/>
      <c r="DG106" s="490"/>
      <c r="DH106" s="490"/>
      <c r="DI106" s="490"/>
      <c r="DJ106" s="490"/>
      <c r="DK106" s="490"/>
      <c r="DL106" s="490"/>
      <c r="DM106" s="490"/>
      <c r="DN106" s="490"/>
      <c r="DO106" s="490"/>
      <c r="DP106" s="490"/>
      <c r="DQ106" s="490"/>
      <c r="DR106" s="490"/>
      <c r="DS106" s="490"/>
      <c r="DT106" s="490"/>
      <c r="DU106" s="490"/>
      <c r="DV106" s="490"/>
      <c r="DW106" s="490"/>
      <c r="DX106" s="490"/>
      <c r="DY106" s="490"/>
      <c r="DZ106" s="490"/>
      <c r="EA106" s="490"/>
      <c r="EB106" s="490"/>
      <c r="EC106" s="490"/>
    </row>
    <row r="107" spans="1:133">
      <c r="A107" s="478"/>
      <c r="B107" s="311"/>
      <c r="C107" s="311"/>
      <c r="D107" s="311"/>
      <c r="E107" s="311"/>
      <c r="F107" s="311"/>
      <c r="G107" s="311"/>
      <c r="H107" s="311"/>
      <c r="I107" s="311"/>
      <c r="J107" s="311"/>
      <c r="K107" s="480"/>
      <c r="L107" s="480"/>
      <c r="M107" s="481"/>
      <c r="N107" s="480"/>
      <c r="O107" s="480"/>
      <c r="P107" s="480"/>
      <c r="Q107" s="480"/>
      <c r="R107" s="480"/>
      <c r="S107" s="477"/>
      <c r="T107" s="477"/>
      <c r="U107" s="477"/>
    </row>
    <row r="108" spans="1:133">
      <c r="A108" s="478"/>
      <c r="B108" s="460"/>
      <c r="C108" s="311"/>
      <c r="D108" s="311"/>
      <c r="E108" s="311"/>
      <c r="F108" s="311"/>
      <c r="G108" s="311"/>
      <c r="H108" s="311"/>
      <c r="I108" s="311"/>
      <c r="J108" s="311"/>
      <c r="K108" s="480"/>
      <c r="L108" s="480"/>
      <c r="M108" s="481"/>
      <c r="N108" s="480"/>
      <c r="O108" s="480"/>
      <c r="P108" s="480"/>
      <c r="Q108" s="480"/>
      <c r="R108" s="480"/>
      <c r="S108" s="477"/>
      <c r="T108" s="477"/>
      <c r="U108" s="477"/>
    </row>
    <row r="109" spans="1:133">
      <c r="A109" s="478"/>
      <c r="B109" s="311"/>
      <c r="C109" s="311"/>
      <c r="D109" s="311"/>
      <c r="E109" s="311"/>
      <c r="F109" s="311"/>
      <c r="G109" s="311"/>
      <c r="H109" s="311"/>
      <c r="I109" s="311"/>
      <c r="J109" s="311"/>
      <c r="K109" s="480"/>
      <c r="L109" s="480"/>
      <c r="M109" s="481"/>
      <c r="N109" s="480"/>
      <c r="O109" s="480"/>
      <c r="P109" s="480"/>
      <c r="Q109" s="480"/>
      <c r="R109" s="480"/>
      <c r="S109" s="477"/>
      <c r="T109" s="477"/>
      <c r="U109" s="477"/>
    </row>
    <row r="110" spans="1:133">
      <c r="A110" s="478"/>
      <c r="B110" s="311"/>
      <c r="C110" s="311"/>
      <c r="D110" s="311"/>
      <c r="E110" s="311"/>
      <c r="F110" s="311"/>
      <c r="G110" s="311"/>
      <c r="H110" s="311"/>
      <c r="I110" s="311"/>
      <c r="J110" s="311"/>
      <c r="K110" s="480"/>
      <c r="L110" s="480"/>
      <c r="M110" s="481"/>
      <c r="N110" s="480"/>
      <c r="O110" s="480"/>
      <c r="P110" s="480"/>
      <c r="Q110" s="480"/>
      <c r="R110" s="480"/>
      <c r="S110" s="477"/>
      <c r="T110" s="477"/>
      <c r="U110" s="477"/>
    </row>
    <row r="111" spans="1:133">
      <c r="A111" s="478"/>
      <c r="B111" s="311"/>
      <c r="C111" s="311"/>
      <c r="D111" s="311"/>
      <c r="E111" s="311"/>
      <c r="F111" s="311"/>
      <c r="G111" s="311"/>
      <c r="H111" s="311"/>
      <c r="I111" s="311"/>
      <c r="J111" s="311"/>
      <c r="K111" s="480"/>
      <c r="L111" s="480"/>
      <c r="M111" s="481"/>
      <c r="N111" s="480"/>
      <c r="O111" s="480"/>
      <c r="P111" s="480"/>
      <c r="Q111" s="480"/>
      <c r="R111" s="480"/>
      <c r="S111" s="477"/>
      <c r="T111" s="477"/>
      <c r="U111" s="477"/>
    </row>
    <row r="112" spans="1:133">
      <c r="A112" s="478"/>
      <c r="B112" s="311"/>
      <c r="C112" s="311"/>
      <c r="D112" s="311"/>
      <c r="E112" s="311"/>
      <c r="F112" s="311"/>
      <c r="G112" s="311"/>
      <c r="H112" s="311"/>
      <c r="I112" s="311"/>
      <c r="J112" s="311"/>
      <c r="K112" s="480"/>
      <c r="L112" s="480"/>
      <c r="M112" s="481"/>
      <c r="N112" s="480"/>
      <c r="O112" s="480"/>
      <c r="P112" s="480"/>
      <c r="Q112" s="480"/>
      <c r="R112" s="480"/>
      <c r="S112" s="477"/>
      <c r="T112" s="477"/>
      <c r="U112" s="477"/>
    </row>
    <row r="113" spans="1:21">
      <c r="A113" s="478"/>
      <c r="B113" s="311"/>
      <c r="C113" s="311"/>
      <c r="D113" s="311"/>
      <c r="E113" s="311"/>
      <c r="F113" s="311"/>
      <c r="G113" s="311"/>
      <c r="H113" s="311"/>
      <c r="I113" s="311"/>
      <c r="J113" s="311"/>
      <c r="K113" s="480"/>
      <c r="L113" s="480"/>
      <c r="M113" s="481"/>
      <c r="N113" s="480"/>
      <c r="O113" s="480"/>
      <c r="P113" s="480"/>
      <c r="Q113" s="480"/>
      <c r="R113" s="480"/>
      <c r="S113" s="477"/>
      <c r="T113" s="477"/>
      <c r="U113" s="477"/>
    </row>
    <row r="114" spans="1:21">
      <c r="A114" s="478"/>
      <c r="B114" s="311"/>
      <c r="C114" s="311"/>
      <c r="D114" s="311"/>
      <c r="E114" s="311"/>
      <c r="F114" s="311"/>
      <c r="G114" s="311"/>
      <c r="H114" s="311"/>
      <c r="I114" s="311"/>
      <c r="J114" s="311"/>
      <c r="K114" s="480"/>
      <c r="L114" s="480"/>
      <c r="M114" s="481"/>
      <c r="N114" s="480"/>
      <c r="O114" s="480"/>
      <c r="P114" s="480"/>
      <c r="Q114" s="480"/>
      <c r="R114" s="480"/>
      <c r="S114" s="477"/>
      <c r="T114" s="477"/>
      <c r="U114" s="477"/>
    </row>
    <row r="115" spans="1:21">
      <c r="A115" s="478"/>
      <c r="B115" s="311"/>
      <c r="C115" s="311"/>
      <c r="D115" s="311"/>
      <c r="E115" s="311"/>
      <c r="F115" s="311"/>
      <c r="G115" s="311"/>
      <c r="H115" s="311"/>
      <c r="I115" s="311"/>
      <c r="J115" s="311"/>
      <c r="K115" s="480"/>
      <c r="L115" s="480"/>
      <c r="M115" s="481"/>
      <c r="N115" s="480"/>
      <c r="O115" s="480"/>
      <c r="P115" s="480"/>
      <c r="Q115" s="480"/>
      <c r="R115" s="480"/>
      <c r="S115" s="477"/>
      <c r="T115" s="477"/>
      <c r="U115" s="477"/>
    </row>
    <row r="116" spans="1:21">
      <c r="A116" s="478"/>
      <c r="B116" s="311"/>
      <c r="C116" s="311"/>
      <c r="D116" s="311"/>
      <c r="E116" s="311"/>
      <c r="F116" s="311"/>
      <c r="G116" s="311"/>
      <c r="H116" s="311"/>
      <c r="I116" s="311"/>
      <c r="J116" s="311"/>
      <c r="K116" s="480"/>
      <c r="L116" s="480"/>
      <c r="M116" s="481"/>
      <c r="N116" s="480"/>
      <c r="O116" s="480"/>
      <c r="P116" s="480"/>
      <c r="Q116" s="480"/>
      <c r="R116" s="480"/>
      <c r="S116" s="477"/>
      <c r="T116" s="477"/>
      <c r="U116" s="477"/>
    </row>
    <row r="117" spans="1:21">
      <c r="A117" s="438"/>
      <c r="B117" s="441"/>
      <c r="C117" s="441"/>
      <c r="D117" s="441"/>
      <c r="E117" s="441"/>
      <c r="F117" s="441"/>
      <c r="G117" s="441"/>
      <c r="H117" s="441"/>
      <c r="I117" s="441"/>
      <c r="J117" s="441"/>
      <c r="S117" s="477"/>
      <c r="T117" s="477"/>
      <c r="U117" s="477"/>
    </row>
    <row r="118" spans="1:21">
      <c r="A118" s="438"/>
      <c r="B118" s="441"/>
      <c r="C118" s="441"/>
      <c r="D118" s="441"/>
      <c r="E118" s="441"/>
      <c r="F118" s="441"/>
      <c r="G118" s="441"/>
      <c r="H118" s="441"/>
      <c r="I118" s="441"/>
      <c r="J118" s="441"/>
      <c r="S118" s="477"/>
      <c r="T118" s="477"/>
      <c r="U118" s="477"/>
    </row>
    <row r="119" spans="1:21">
      <c r="A119" s="438"/>
      <c r="B119" s="441"/>
      <c r="C119" s="441"/>
      <c r="D119" s="441"/>
      <c r="E119" s="441"/>
      <c r="F119" s="441"/>
      <c r="G119" s="441"/>
      <c r="H119" s="441"/>
      <c r="I119" s="441"/>
      <c r="J119" s="441"/>
      <c r="S119" s="477"/>
      <c r="T119" s="477"/>
      <c r="U119" s="477"/>
    </row>
    <row r="120" spans="1:21">
      <c r="A120" s="438"/>
      <c r="B120" s="441"/>
      <c r="C120" s="441"/>
      <c r="D120" s="441"/>
      <c r="E120" s="441"/>
      <c r="F120" s="441"/>
      <c r="G120" s="441"/>
      <c r="H120" s="441"/>
      <c r="I120" s="441"/>
      <c r="J120" s="441"/>
      <c r="S120" s="477"/>
      <c r="T120" s="477"/>
      <c r="U120" s="477"/>
    </row>
    <row r="121" spans="1:21">
      <c r="A121" s="438"/>
      <c r="B121" s="441"/>
      <c r="C121" s="441"/>
      <c r="D121" s="441"/>
      <c r="E121" s="441"/>
      <c r="F121" s="441"/>
      <c r="G121" s="441"/>
      <c r="H121" s="441"/>
      <c r="I121" s="441"/>
      <c r="J121" s="441"/>
      <c r="S121" s="477"/>
      <c r="T121" s="477"/>
      <c r="U121" s="477"/>
    </row>
    <row r="122" spans="1:21">
      <c r="A122" s="438"/>
      <c r="B122" s="441"/>
      <c r="C122" s="441"/>
      <c r="D122" s="441"/>
      <c r="E122" s="441"/>
      <c r="F122" s="441"/>
      <c r="G122" s="441"/>
      <c r="H122" s="441"/>
      <c r="I122" s="441"/>
      <c r="J122" s="441"/>
      <c r="S122" s="477"/>
      <c r="T122" s="477"/>
      <c r="U122" s="477"/>
    </row>
    <row r="123" spans="1:21">
      <c r="A123" s="438"/>
      <c r="B123" s="441"/>
      <c r="C123" s="441"/>
      <c r="D123" s="441"/>
      <c r="E123" s="441"/>
      <c r="F123" s="441"/>
      <c r="G123" s="441"/>
      <c r="H123" s="441"/>
      <c r="I123" s="441"/>
      <c r="J123" s="441"/>
      <c r="S123" s="477"/>
      <c r="T123" s="477"/>
      <c r="U123" s="477"/>
    </row>
    <row r="124" spans="1:21">
      <c r="A124" s="438"/>
      <c r="B124" s="441"/>
      <c r="C124" s="441"/>
      <c r="D124" s="441"/>
      <c r="E124" s="441"/>
      <c r="F124" s="441"/>
      <c r="G124" s="441"/>
      <c r="H124" s="441"/>
      <c r="I124" s="441"/>
      <c r="J124" s="441"/>
      <c r="S124" s="477"/>
      <c r="T124" s="477"/>
      <c r="U124" s="477"/>
    </row>
    <row r="125" spans="1:21">
      <c r="A125" s="438"/>
      <c r="B125" s="441"/>
      <c r="C125" s="441"/>
      <c r="D125" s="441"/>
      <c r="E125" s="441"/>
      <c r="F125" s="441"/>
      <c r="G125" s="441"/>
      <c r="H125" s="441"/>
      <c r="I125" s="441"/>
      <c r="J125" s="441"/>
      <c r="S125" s="477"/>
      <c r="T125" s="477"/>
      <c r="U125" s="477"/>
    </row>
    <row r="126" spans="1:21">
      <c r="A126" s="438"/>
      <c r="B126" s="441"/>
      <c r="C126" s="441"/>
      <c r="D126" s="441"/>
      <c r="E126" s="441"/>
      <c r="F126" s="441"/>
      <c r="G126" s="441"/>
      <c r="H126" s="441"/>
      <c r="I126" s="441"/>
      <c r="J126" s="441"/>
      <c r="S126" s="477"/>
      <c r="T126" s="477"/>
      <c r="U126" s="477"/>
    </row>
    <row r="127" spans="1:21">
      <c r="A127" s="438"/>
      <c r="B127" s="441"/>
      <c r="C127" s="441"/>
      <c r="D127" s="441"/>
      <c r="E127" s="441"/>
      <c r="F127" s="441"/>
      <c r="G127" s="441"/>
      <c r="H127" s="441"/>
      <c r="I127" s="441"/>
      <c r="J127" s="441"/>
      <c r="S127" s="477"/>
      <c r="T127" s="477"/>
      <c r="U127" s="477"/>
    </row>
    <row r="128" spans="1:21">
      <c r="A128" s="438"/>
      <c r="B128" s="441"/>
      <c r="C128" s="441"/>
      <c r="D128" s="441"/>
      <c r="E128" s="441"/>
      <c r="F128" s="441"/>
      <c r="G128" s="441"/>
      <c r="H128" s="441"/>
      <c r="I128" s="441"/>
      <c r="J128" s="441"/>
      <c r="S128" s="477"/>
      <c r="T128" s="477"/>
      <c r="U128" s="477"/>
    </row>
    <row r="129" spans="1:21">
      <c r="A129" s="438"/>
      <c r="B129" s="441"/>
      <c r="C129" s="441"/>
      <c r="D129" s="441"/>
      <c r="E129" s="441"/>
      <c r="F129" s="441"/>
      <c r="G129" s="441"/>
      <c r="H129" s="441"/>
      <c r="I129" s="441"/>
      <c r="J129" s="441"/>
      <c r="S129" s="477"/>
      <c r="T129" s="477"/>
      <c r="U129" s="477"/>
    </row>
    <row r="130" spans="1:21">
      <c r="A130" s="438"/>
      <c r="B130" s="441"/>
      <c r="C130" s="441"/>
      <c r="D130" s="441"/>
      <c r="E130" s="441"/>
      <c r="F130" s="441"/>
      <c r="G130" s="441"/>
      <c r="H130" s="441"/>
      <c r="I130" s="441"/>
      <c r="J130" s="441"/>
      <c r="S130" s="477"/>
      <c r="T130" s="477"/>
      <c r="U130" s="477"/>
    </row>
    <row r="131" spans="1:21">
      <c r="A131" s="438"/>
      <c r="B131" s="441"/>
      <c r="C131" s="441"/>
      <c r="D131" s="441"/>
      <c r="E131" s="441"/>
      <c r="F131" s="441"/>
      <c r="G131" s="441"/>
      <c r="H131" s="441"/>
      <c r="I131" s="441"/>
      <c r="J131" s="441"/>
    </row>
    <row r="132" spans="1:21">
      <c r="A132" s="438"/>
      <c r="B132" s="441"/>
      <c r="C132" s="441"/>
      <c r="D132" s="441"/>
      <c r="E132" s="441"/>
      <c r="F132" s="441"/>
      <c r="G132" s="441"/>
      <c r="H132" s="441"/>
      <c r="I132" s="441"/>
      <c r="J132" s="441"/>
    </row>
    <row r="133" spans="1:21">
      <c r="A133" s="438"/>
      <c r="B133" s="441"/>
      <c r="C133" s="441"/>
      <c r="D133" s="441"/>
      <c r="E133" s="441"/>
      <c r="F133" s="441"/>
      <c r="G133" s="441"/>
      <c r="H133" s="441"/>
      <c r="I133" s="441"/>
      <c r="J133" s="441"/>
    </row>
    <row r="134" spans="1:21">
      <c r="A134" s="438"/>
      <c r="B134" s="441"/>
      <c r="C134" s="441"/>
      <c r="D134" s="441"/>
      <c r="E134" s="441"/>
      <c r="F134" s="441"/>
      <c r="G134" s="441"/>
      <c r="H134" s="441"/>
      <c r="I134" s="441"/>
      <c r="J134" s="441"/>
    </row>
    <row r="135" spans="1:21">
      <c r="A135" s="438"/>
      <c r="B135" s="441"/>
      <c r="C135" s="441"/>
      <c r="D135" s="441"/>
      <c r="E135" s="441"/>
      <c r="F135" s="441"/>
      <c r="G135" s="441"/>
      <c r="H135" s="441"/>
      <c r="I135" s="441"/>
      <c r="J135" s="441"/>
    </row>
    <row r="136" spans="1:21">
      <c r="A136" s="438"/>
      <c r="B136" s="441"/>
      <c r="C136" s="441"/>
      <c r="D136" s="441"/>
      <c r="E136" s="441"/>
      <c r="F136" s="441"/>
      <c r="G136" s="441"/>
      <c r="H136" s="441"/>
      <c r="I136" s="441"/>
      <c r="J136" s="441"/>
    </row>
    <row r="137" spans="1:21">
      <c r="A137" s="438"/>
      <c r="B137" s="441"/>
      <c r="C137" s="441"/>
      <c r="D137" s="441"/>
      <c r="E137" s="441"/>
      <c r="F137" s="441"/>
      <c r="G137" s="441"/>
      <c r="H137" s="441"/>
      <c r="I137" s="441"/>
      <c r="J137" s="441"/>
    </row>
    <row r="138" spans="1:21">
      <c r="A138" s="438"/>
      <c r="B138" s="441"/>
      <c r="C138" s="441"/>
      <c r="D138" s="441"/>
      <c r="E138" s="441"/>
      <c r="F138" s="441"/>
      <c r="G138" s="441"/>
      <c r="H138" s="441"/>
      <c r="I138" s="441"/>
      <c r="J138" s="441"/>
    </row>
    <row r="139" spans="1:21">
      <c r="A139" s="438"/>
      <c r="B139" s="441"/>
      <c r="C139" s="441"/>
      <c r="D139" s="441"/>
      <c r="E139" s="441"/>
      <c r="F139" s="441"/>
      <c r="G139" s="441"/>
      <c r="H139" s="441"/>
      <c r="I139" s="441"/>
      <c r="J139" s="441"/>
    </row>
    <row r="140" spans="1:21">
      <c r="A140" s="438"/>
      <c r="B140" s="441"/>
      <c r="C140" s="441"/>
      <c r="D140" s="441"/>
      <c r="E140" s="441"/>
      <c r="F140" s="441"/>
      <c r="G140" s="441"/>
      <c r="H140" s="441"/>
      <c r="I140" s="441"/>
      <c r="J140" s="441"/>
    </row>
    <row r="141" spans="1:21">
      <c r="A141" s="438"/>
      <c r="B141" s="441"/>
      <c r="C141" s="441"/>
      <c r="D141" s="441"/>
      <c r="E141" s="441"/>
      <c r="F141" s="441"/>
      <c r="G141" s="441"/>
      <c r="H141" s="441"/>
      <c r="I141" s="441"/>
      <c r="J141" s="441"/>
    </row>
    <row r="142" spans="1:21">
      <c r="A142" s="438"/>
      <c r="B142" s="441"/>
      <c r="C142" s="441"/>
      <c r="D142" s="441"/>
      <c r="E142" s="441"/>
      <c r="F142" s="441"/>
      <c r="G142" s="441"/>
      <c r="H142" s="441"/>
      <c r="I142" s="441"/>
      <c r="J142" s="441"/>
    </row>
    <row r="143" spans="1:21">
      <c r="A143" s="438"/>
      <c r="B143" s="441"/>
      <c r="C143" s="441"/>
      <c r="D143" s="441"/>
      <c r="E143" s="441"/>
      <c r="F143" s="441"/>
      <c r="G143" s="441"/>
      <c r="H143" s="441"/>
      <c r="I143" s="441"/>
      <c r="J143" s="441"/>
    </row>
    <row r="144" spans="1:21">
      <c r="A144" s="438"/>
      <c r="B144" s="441"/>
      <c r="C144" s="441"/>
      <c r="D144" s="441"/>
      <c r="E144" s="441"/>
      <c r="F144" s="441"/>
      <c r="G144" s="441"/>
      <c r="H144" s="441"/>
      <c r="I144" s="441"/>
      <c r="J144" s="441"/>
    </row>
    <row r="145" spans="1:10">
      <c r="A145" s="438"/>
      <c r="B145" s="441"/>
      <c r="C145" s="441"/>
      <c r="D145" s="441"/>
      <c r="E145" s="441"/>
      <c r="F145" s="441"/>
      <c r="G145" s="441"/>
      <c r="H145" s="441"/>
      <c r="I145" s="441"/>
      <c r="J145" s="441"/>
    </row>
    <row r="146" spans="1:10">
      <c r="A146" s="438"/>
      <c r="B146" s="441"/>
      <c r="C146" s="441"/>
      <c r="D146" s="441"/>
      <c r="E146" s="441"/>
      <c r="F146" s="441"/>
      <c r="G146" s="441"/>
      <c r="H146" s="441"/>
      <c r="I146" s="441"/>
      <c r="J146" s="441"/>
    </row>
    <row r="147" spans="1:10">
      <c r="A147" s="438"/>
      <c r="B147" s="441"/>
      <c r="C147" s="441"/>
      <c r="D147" s="441"/>
      <c r="E147" s="441"/>
      <c r="F147" s="441"/>
      <c r="G147" s="441"/>
      <c r="H147" s="441"/>
      <c r="I147" s="441"/>
      <c r="J147" s="441"/>
    </row>
    <row r="148" spans="1:10">
      <c r="A148" s="438"/>
      <c r="B148" s="441"/>
      <c r="C148" s="441"/>
      <c r="D148" s="441"/>
      <c r="E148" s="441"/>
      <c r="F148" s="441"/>
      <c r="G148" s="441"/>
      <c r="H148" s="441"/>
      <c r="I148" s="441"/>
      <c r="J148" s="441"/>
    </row>
    <row r="149" spans="1:10">
      <c r="A149" s="438"/>
      <c r="B149" s="441"/>
      <c r="C149" s="441"/>
      <c r="D149" s="441"/>
      <c r="E149" s="441"/>
      <c r="F149" s="441"/>
      <c r="G149" s="441"/>
      <c r="H149" s="441"/>
      <c r="I149" s="441"/>
      <c r="J149" s="441"/>
    </row>
    <row r="150" spans="1:10">
      <c r="A150" s="438"/>
      <c r="B150" s="441"/>
      <c r="C150" s="441"/>
      <c r="D150" s="441"/>
      <c r="E150" s="441"/>
      <c r="F150" s="441"/>
      <c r="G150" s="441"/>
      <c r="H150" s="441"/>
      <c r="I150" s="441"/>
      <c r="J150" s="441"/>
    </row>
    <row r="151" spans="1:10">
      <c r="A151" s="438"/>
      <c r="B151" s="441"/>
      <c r="C151" s="441"/>
      <c r="D151" s="441"/>
      <c r="E151" s="441"/>
      <c r="F151" s="441"/>
      <c r="G151" s="441"/>
      <c r="H151" s="441"/>
      <c r="I151" s="441"/>
      <c r="J151" s="441"/>
    </row>
    <row r="152" spans="1:10">
      <c r="A152" s="438"/>
      <c r="B152" s="441"/>
      <c r="C152" s="441"/>
      <c r="D152" s="441"/>
      <c r="E152" s="441"/>
      <c r="F152" s="441"/>
      <c r="G152" s="441"/>
      <c r="H152" s="441"/>
      <c r="I152" s="441"/>
      <c r="J152" s="441"/>
    </row>
    <row r="153" spans="1:10">
      <c r="A153" s="438"/>
      <c r="B153" s="441"/>
      <c r="C153" s="441"/>
      <c r="D153" s="441"/>
      <c r="E153" s="441"/>
      <c r="F153" s="441"/>
      <c r="G153" s="441"/>
      <c r="H153" s="441"/>
      <c r="I153" s="441"/>
      <c r="J153" s="441"/>
    </row>
    <row r="154" spans="1:10">
      <c r="A154" s="438"/>
      <c r="B154" s="441"/>
      <c r="C154" s="441"/>
      <c r="D154" s="441"/>
      <c r="E154" s="441"/>
      <c r="F154" s="441"/>
      <c r="G154" s="441"/>
      <c r="H154" s="441"/>
      <c r="I154" s="441"/>
      <c r="J154" s="441"/>
    </row>
    <row r="155" spans="1:10">
      <c r="A155" s="438"/>
      <c r="B155" s="441"/>
      <c r="C155" s="441"/>
      <c r="D155" s="441"/>
      <c r="E155" s="441"/>
      <c r="F155" s="441"/>
      <c r="G155" s="441"/>
      <c r="H155" s="441"/>
      <c r="I155" s="441"/>
      <c r="J155" s="441"/>
    </row>
    <row r="156" spans="1:10">
      <c r="A156" s="438"/>
      <c r="B156" s="441"/>
      <c r="C156" s="441"/>
      <c r="D156" s="441"/>
      <c r="E156" s="441"/>
      <c r="F156" s="441"/>
      <c r="G156" s="441"/>
      <c r="H156" s="441"/>
      <c r="I156" s="441"/>
      <c r="J156" s="441"/>
    </row>
    <row r="157" spans="1:10">
      <c r="A157" s="438"/>
      <c r="B157" s="441"/>
      <c r="C157" s="441"/>
      <c r="D157" s="441"/>
      <c r="E157" s="441"/>
      <c r="F157" s="441"/>
      <c r="G157" s="441"/>
      <c r="H157" s="441"/>
      <c r="I157" s="441"/>
      <c r="J157" s="441"/>
    </row>
    <row r="158" spans="1:10">
      <c r="A158" s="438"/>
      <c r="B158" s="441"/>
      <c r="C158" s="441"/>
      <c r="D158" s="441"/>
      <c r="E158" s="441"/>
      <c r="F158" s="441"/>
      <c r="G158" s="441"/>
      <c r="H158" s="441"/>
      <c r="I158" s="441"/>
      <c r="J158" s="441"/>
    </row>
    <row r="159" spans="1:10">
      <c r="A159" s="438"/>
      <c r="B159" s="441"/>
      <c r="C159" s="441"/>
      <c r="D159" s="441"/>
      <c r="E159" s="441"/>
      <c r="F159" s="441"/>
      <c r="G159" s="441"/>
      <c r="H159" s="441"/>
      <c r="I159" s="441"/>
      <c r="J159" s="441"/>
    </row>
    <row r="160" spans="1:10">
      <c r="A160" s="438"/>
      <c r="B160" s="441"/>
      <c r="C160" s="441"/>
      <c r="D160" s="441"/>
      <c r="E160" s="441"/>
      <c r="F160" s="441"/>
      <c r="G160" s="441"/>
      <c r="H160" s="441"/>
      <c r="I160" s="441"/>
      <c r="J160" s="441"/>
    </row>
    <row r="161" spans="1:10">
      <c r="A161" s="438"/>
      <c r="B161" s="441"/>
      <c r="C161" s="441"/>
      <c r="D161" s="441"/>
      <c r="E161" s="441"/>
      <c r="F161" s="441"/>
      <c r="G161" s="441"/>
      <c r="H161" s="441"/>
      <c r="I161" s="441"/>
      <c r="J161" s="441"/>
    </row>
    <row r="162" spans="1:10">
      <c r="A162" s="438"/>
      <c r="B162" s="441"/>
      <c r="C162" s="441"/>
      <c r="D162" s="441"/>
      <c r="E162" s="441"/>
      <c r="F162" s="441"/>
      <c r="G162" s="441"/>
      <c r="H162" s="441"/>
      <c r="I162" s="441"/>
      <c r="J162" s="441"/>
    </row>
    <row r="163" spans="1:10">
      <c r="A163" s="438"/>
      <c r="B163" s="441"/>
      <c r="C163" s="441"/>
      <c r="D163" s="441"/>
      <c r="E163" s="441"/>
      <c r="F163" s="441"/>
      <c r="G163" s="441"/>
      <c r="H163" s="441"/>
      <c r="I163" s="441"/>
      <c r="J163" s="441"/>
    </row>
    <row r="164" spans="1:10">
      <c r="A164" s="438"/>
      <c r="B164" s="441"/>
      <c r="C164" s="441"/>
      <c r="D164" s="441"/>
      <c r="E164" s="441"/>
      <c r="F164" s="441"/>
      <c r="G164" s="441"/>
      <c r="H164" s="441"/>
      <c r="I164" s="441"/>
      <c r="J164" s="441"/>
    </row>
    <row r="165" spans="1:10">
      <c r="A165" s="438"/>
      <c r="B165" s="441"/>
      <c r="C165" s="441"/>
      <c r="D165" s="441"/>
      <c r="E165" s="441"/>
      <c r="F165" s="441"/>
      <c r="G165" s="441"/>
      <c r="H165" s="441"/>
      <c r="I165" s="441"/>
      <c r="J165" s="441"/>
    </row>
    <row r="166" spans="1:10">
      <c r="A166" s="438"/>
      <c r="B166" s="441"/>
      <c r="C166" s="441"/>
      <c r="D166" s="441"/>
      <c r="E166" s="441"/>
      <c r="F166" s="441"/>
      <c r="G166" s="441"/>
      <c r="H166" s="441"/>
      <c r="I166" s="441"/>
      <c r="J166" s="441"/>
    </row>
    <row r="167" spans="1:10">
      <c r="A167" s="438"/>
      <c r="B167" s="441"/>
      <c r="C167" s="441"/>
      <c r="D167" s="441"/>
      <c r="E167" s="441"/>
      <c r="F167" s="441"/>
      <c r="G167" s="441"/>
      <c r="H167" s="441"/>
      <c r="I167" s="441"/>
      <c r="J167" s="441"/>
    </row>
    <row r="168" spans="1:10">
      <c r="A168" s="438"/>
      <c r="B168" s="441"/>
      <c r="C168" s="441"/>
      <c r="D168" s="441"/>
      <c r="E168" s="441"/>
      <c r="F168" s="441"/>
      <c r="G168" s="441"/>
      <c r="H168" s="441"/>
      <c r="I168" s="441"/>
      <c r="J168" s="441"/>
    </row>
    <row r="169" spans="1:10">
      <c r="A169" s="438"/>
      <c r="B169" s="441"/>
      <c r="C169" s="441"/>
      <c r="D169" s="441"/>
      <c r="E169" s="441"/>
      <c r="F169" s="441"/>
      <c r="G169" s="441"/>
      <c r="H169" s="441"/>
      <c r="I169" s="441"/>
      <c r="J169" s="441"/>
    </row>
    <row r="170" spans="1:10">
      <c r="A170" s="438"/>
      <c r="B170" s="441"/>
      <c r="C170" s="441"/>
      <c r="D170" s="441"/>
      <c r="E170" s="441"/>
      <c r="F170" s="441"/>
      <c r="G170" s="441"/>
      <c r="H170" s="441"/>
      <c r="I170" s="441"/>
      <c r="J170" s="441"/>
    </row>
    <row r="171" spans="1:10">
      <c r="A171" s="438"/>
      <c r="B171" s="441"/>
      <c r="C171" s="441"/>
      <c r="D171" s="441"/>
      <c r="E171" s="441"/>
      <c r="F171" s="441"/>
      <c r="G171" s="441"/>
      <c r="H171" s="441"/>
      <c r="I171" s="441"/>
      <c r="J171" s="441"/>
    </row>
    <row r="172" spans="1:10">
      <c r="A172" s="438"/>
      <c r="B172" s="441"/>
      <c r="C172" s="441"/>
      <c r="D172" s="441"/>
      <c r="E172" s="441"/>
      <c r="F172" s="441"/>
      <c r="G172" s="441"/>
      <c r="H172" s="441"/>
      <c r="I172" s="441"/>
      <c r="J172" s="441"/>
    </row>
    <row r="173" spans="1:10">
      <c r="A173" s="438"/>
      <c r="B173" s="441"/>
      <c r="C173" s="441"/>
      <c r="D173" s="441"/>
      <c r="E173" s="441"/>
      <c r="F173" s="441"/>
      <c r="G173" s="441"/>
      <c r="H173" s="441"/>
      <c r="I173" s="441"/>
      <c r="J173" s="441"/>
    </row>
    <row r="174" spans="1:10">
      <c r="A174" s="438"/>
      <c r="B174" s="441"/>
      <c r="C174" s="441"/>
      <c r="D174" s="441"/>
      <c r="E174" s="441"/>
      <c r="F174" s="441"/>
      <c r="G174" s="441"/>
      <c r="H174" s="441"/>
      <c r="I174" s="441"/>
      <c r="J174" s="441"/>
    </row>
    <row r="175" spans="1:10">
      <c r="A175" s="438"/>
      <c r="B175" s="441"/>
      <c r="C175" s="441"/>
      <c r="D175" s="441"/>
      <c r="E175" s="441"/>
      <c r="F175" s="441"/>
      <c r="G175" s="441"/>
      <c r="H175" s="441"/>
      <c r="I175" s="441"/>
      <c r="J175" s="441"/>
    </row>
    <row r="176" spans="1:10">
      <c r="A176" s="438"/>
      <c r="B176" s="441"/>
      <c r="C176" s="441"/>
      <c r="D176" s="441"/>
      <c r="E176" s="441"/>
      <c r="F176" s="441"/>
      <c r="G176" s="441"/>
      <c r="H176" s="441"/>
      <c r="I176" s="441"/>
      <c r="J176" s="441"/>
    </row>
    <row r="177" spans="1:25">
      <c r="A177" s="438"/>
      <c r="B177" s="441"/>
      <c r="C177" s="441"/>
      <c r="D177" s="441"/>
      <c r="E177" s="441"/>
      <c r="F177" s="441"/>
      <c r="G177" s="441"/>
      <c r="H177" s="441"/>
      <c r="I177" s="441"/>
      <c r="J177" s="441"/>
    </row>
    <row r="178" spans="1:25">
      <c r="A178" s="438"/>
      <c r="B178" s="441"/>
      <c r="C178" s="441"/>
      <c r="D178" s="441"/>
      <c r="E178" s="441"/>
      <c r="F178" s="441"/>
      <c r="G178" s="441"/>
      <c r="H178" s="441"/>
      <c r="I178" s="441"/>
      <c r="J178" s="441"/>
    </row>
    <row r="179" spans="1:25">
      <c r="A179" s="438"/>
      <c r="B179" s="441"/>
      <c r="C179" s="441"/>
      <c r="D179" s="441"/>
      <c r="E179" s="441"/>
      <c r="F179" s="441"/>
      <c r="G179" s="441"/>
      <c r="H179" s="441"/>
      <c r="I179" s="441"/>
      <c r="J179" s="441"/>
    </row>
    <row r="180" spans="1:25">
      <c r="A180" s="438"/>
      <c r="B180" s="441"/>
      <c r="C180" s="441"/>
      <c r="D180" s="441"/>
      <c r="E180" s="441"/>
      <c r="F180" s="441"/>
      <c r="G180" s="441"/>
      <c r="H180" s="441"/>
      <c r="I180" s="441"/>
      <c r="J180" s="441"/>
    </row>
    <row r="181" spans="1:25">
      <c r="A181" s="438"/>
      <c r="B181" s="441"/>
      <c r="C181" s="441"/>
      <c r="D181" s="441"/>
      <c r="E181" s="441"/>
      <c r="F181" s="441"/>
      <c r="G181" s="441"/>
      <c r="H181" s="441"/>
      <c r="I181" s="441"/>
      <c r="J181" s="441"/>
    </row>
    <row r="182" spans="1:25">
      <c r="A182" s="438"/>
      <c r="B182" s="441"/>
      <c r="C182" s="441"/>
      <c r="D182" s="441"/>
      <c r="E182" s="441"/>
      <c r="F182" s="441"/>
      <c r="G182" s="441"/>
      <c r="H182" s="441"/>
      <c r="I182" s="441"/>
      <c r="J182" s="441"/>
    </row>
    <row r="183" spans="1:25">
      <c r="A183" s="438"/>
      <c r="B183" s="441"/>
      <c r="C183" s="441"/>
      <c r="D183" s="441"/>
      <c r="E183" s="441"/>
      <c r="F183" s="441"/>
      <c r="G183" s="441"/>
      <c r="H183" s="441"/>
      <c r="I183" s="441"/>
      <c r="J183" s="441"/>
    </row>
    <row r="184" spans="1:25">
      <c r="A184" s="438"/>
      <c r="B184" s="441"/>
      <c r="C184" s="441"/>
      <c r="D184" s="441"/>
      <c r="E184" s="441"/>
      <c r="F184" s="441"/>
      <c r="G184" s="441"/>
      <c r="H184" s="441"/>
      <c r="I184" s="441"/>
      <c r="J184" s="441"/>
    </row>
    <row r="185" spans="1:25">
      <c r="A185" s="438"/>
      <c r="B185" s="441"/>
      <c r="C185" s="441"/>
      <c r="D185" s="441"/>
      <c r="E185" s="441"/>
      <c r="F185" s="441"/>
      <c r="G185" s="441"/>
      <c r="H185" s="441"/>
      <c r="I185" s="441"/>
      <c r="J185" s="441"/>
    </row>
    <row r="186" spans="1:25">
      <c r="A186" s="438"/>
      <c r="B186" s="441"/>
      <c r="C186" s="441"/>
      <c r="D186" s="441"/>
      <c r="E186" s="441"/>
      <c r="F186" s="441"/>
      <c r="G186" s="441"/>
      <c r="H186" s="441"/>
      <c r="I186" s="441"/>
      <c r="J186" s="441"/>
    </row>
    <row r="187" spans="1:25">
      <c r="A187" s="438"/>
      <c r="B187" s="441"/>
      <c r="C187" s="441"/>
      <c r="D187" s="441"/>
      <c r="E187" s="441"/>
      <c r="F187" s="441"/>
      <c r="G187" s="441"/>
      <c r="H187" s="441"/>
      <c r="I187" s="441"/>
      <c r="J187" s="441"/>
      <c r="Y187" s="460"/>
    </row>
    <row r="188" spans="1:25">
      <c r="A188" s="438"/>
      <c r="B188" s="441"/>
      <c r="C188" s="441"/>
      <c r="D188" s="441"/>
      <c r="E188" s="441"/>
      <c r="F188" s="441"/>
      <c r="G188" s="441"/>
      <c r="H188" s="441"/>
      <c r="I188" s="441"/>
      <c r="J188" s="441"/>
    </row>
    <row r="189" spans="1:25">
      <c r="A189" s="438"/>
      <c r="B189" s="441"/>
      <c r="C189" s="441"/>
      <c r="D189" s="441"/>
      <c r="E189" s="441"/>
      <c r="F189" s="441"/>
      <c r="G189" s="441"/>
      <c r="H189" s="441"/>
      <c r="I189" s="441"/>
      <c r="J189" s="441"/>
    </row>
    <row r="190" spans="1:25">
      <c r="A190" s="438"/>
      <c r="B190" s="441"/>
      <c r="C190" s="441"/>
      <c r="D190" s="441"/>
      <c r="E190" s="441"/>
      <c r="F190" s="441"/>
      <c r="G190" s="441"/>
      <c r="H190" s="441"/>
      <c r="I190" s="441"/>
      <c r="J190" s="441"/>
    </row>
    <row r="191" spans="1:25">
      <c r="A191" s="438"/>
      <c r="B191" s="441"/>
      <c r="C191" s="441"/>
      <c r="D191" s="441"/>
      <c r="E191" s="441"/>
      <c r="F191" s="441"/>
      <c r="G191" s="441"/>
      <c r="H191" s="441"/>
      <c r="I191" s="441"/>
      <c r="J191" s="441"/>
    </row>
    <row r="192" spans="1:25">
      <c r="A192" s="438"/>
      <c r="B192" s="441"/>
      <c r="C192" s="441"/>
      <c r="D192" s="441"/>
      <c r="E192" s="441"/>
      <c r="F192" s="441"/>
      <c r="G192" s="441"/>
      <c r="H192" s="441"/>
      <c r="I192" s="441"/>
      <c r="J192" s="441"/>
    </row>
    <row r="193" spans="1:25">
      <c r="A193" s="438"/>
      <c r="B193" s="441"/>
      <c r="C193" s="441"/>
      <c r="D193" s="441"/>
      <c r="E193" s="441"/>
      <c r="F193" s="441"/>
      <c r="G193" s="441"/>
      <c r="H193" s="441"/>
      <c r="I193" s="441"/>
      <c r="J193" s="441"/>
    </row>
    <row r="194" spans="1:25">
      <c r="A194" s="438"/>
      <c r="B194" s="441"/>
      <c r="C194" s="441"/>
      <c r="D194" s="441"/>
      <c r="E194" s="441"/>
      <c r="F194" s="441"/>
      <c r="G194" s="441"/>
      <c r="H194" s="441"/>
      <c r="I194" s="441"/>
      <c r="J194" s="441"/>
    </row>
    <row r="195" spans="1:25">
      <c r="A195" s="438"/>
      <c r="B195" s="441"/>
      <c r="C195" s="441"/>
      <c r="D195" s="441"/>
      <c r="E195" s="441"/>
      <c r="F195" s="441"/>
      <c r="G195" s="441"/>
      <c r="H195" s="441"/>
      <c r="I195" s="441"/>
      <c r="J195" s="441"/>
    </row>
    <row r="196" spans="1:25">
      <c r="A196" s="438"/>
      <c r="B196" s="441"/>
      <c r="C196" s="441"/>
      <c r="D196" s="441"/>
      <c r="E196" s="441"/>
      <c r="F196" s="441"/>
      <c r="G196" s="441"/>
      <c r="H196" s="441"/>
      <c r="I196" s="441"/>
      <c r="J196" s="441"/>
    </row>
    <row r="197" spans="1:25">
      <c r="A197" s="438"/>
      <c r="B197" s="441"/>
      <c r="C197" s="441"/>
      <c r="D197" s="441"/>
      <c r="E197" s="441"/>
      <c r="F197" s="441"/>
      <c r="G197" s="441"/>
      <c r="H197" s="441"/>
      <c r="I197" s="441"/>
      <c r="J197" s="441"/>
      <c r="Y197" s="460"/>
    </row>
    <row r="198" spans="1:25">
      <c r="A198" s="438"/>
      <c r="B198" s="441"/>
      <c r="C198" s="441"/>
      <c r="D198" s="441"/>
      <c r="E198" s="441"/>
      <c r="F198" s="441"/>
      <c r="G198" s="441"/>
      <c r="H198" s="441"/>
      <c r="I198" s="441"/>
      <c r="J198" s="441"/>
    </row>
    <row r="199" spans="1:25">
      <c r="A199" s="438"/>
      <c r="B199" s="441"/>
      <c r="C199" s="441"/>
      <c r="D199" s="441"/>
      <c r="E199" s="441"/>
      <c r="F199" s="441"/>
      <c r="G199" s="441"/>
      <c r="H199" s="441"/>
      <c r="I199" s="441"/>
      <c r="J199" s="441"/>
    </row>
    <row r="200" spans="1:25">
      <c r="A200" s="438"/>
      <c r="B200" s="441"/>
      <c r="C200" s="441"/>
      <c r="D200" s="441"/>
      <c r="E200" s="441"/>
      <c r="F200" s="441"/>
      <c r="G200" s="441"/>
      <c r="H200" s="441"/>
      <c r="I200" s="441"/>
      <c r="J200" s="441"/>
    </row>
    <row r="201" spans="1:25">
      <c r="A201" s="438"/>
      <c r="B201" s="441"/>
      <c r="C201" s="441"/>
      <c r="D201" s="441"/>
      <c r="E201" s="441"/>
      <c r="F201" s="441"/>
      <c r="G201" s="441"/>
      <c r="H201" s="441"/>
      <c r="I201" s="441"/>
      <c r="J201" s="441"/>
    </row>
    <row r="202" spans="1:25">
      <c r="A202" s="438"/>
      <c r="B202" s="441"/>
      <c r="C202" s="441"/>
      <c r="D202" s="441"/>
      <c r="E202" s="441"/>
      <c r="F202" s="441"/>
      <c r="G202" s="441"/>
      <c r="H202" s="441"/>
      <c r="I202" s="441"/>
      <c r="J202" s="441"/>
    </row>
    <row r="203" spans="1:25">
      <c r="A203" s="438"/>
      <c r="B203" s="441"/>
      <c r="C203" s="441"/>
      <c r="D203" s="441"/>
      <c r="E203" s="441"/>
      <c r="F203" s="441"/>
      <c r="G203" s="441"/>
      <c r="H203" s="441"/>
      <c r="I203" s="441"/>
      <c r="J203" s="441"/>
    </row>
    <row r="204" spans="1:25">
      <c r="A204" s="438"/>
      <c r="B204" s="441"/>
      <c r="C204" s="441"/>
      <c r="D204" s="441"/>
      <c r="E204" s="441"/>
      <c r="F204" s="441"/>
      <c r="G204" s="441"/>
      <c r="H204" s="441"/>
      <c r="I204" s="441"/>
      <c r="J204" s="441"/>
    </row>
    <row r="205" spans="1:25">
      <c r="A205" s="438"/>
      <c r="B205" s="441"/>
      <c r="C205" s="441"/>
      <c r="D205" s="441"/>
      <c r="E205" s="441"/>
      <c r="F205" s="441"/>
      <c r="G205" s="441"/>
      <c r="H205" s="441"/>
      <c r="I205" s="441"/>
      <c r="J205" s="441"/>
    </row>
    <row r="206" spans="1:25">
      <c r="A206" s="438"/>
      <c r="B206" s="441"/>
      <c r="C206" s="441"/>
      <c r="D206" s="441"/>
      <c r="E206" s="441"/>
      <c r="F206" s="441"/>
      <c r="G206" s="441"/>
      <c r="H206" s="441"/>
      <c r="I206" s="441"/>
      <c r="J206" s="441"/>
    </row>
    <row r="207" spans="1:25">
      <c r="A207" s="438"/>
      <c r="B207" s="441"/>
      <c r="C207" s="441"/>
      <c r="D207" s="441"/>
      <c r="E207" s="441"/>
      <c r="F207" s="441"/>
      <c r="G207" s="441"/>
      <c r="H207" s="441"/>
      <c r="I207" s="441"/>
      <c r="J207" s="441"/>
    </row>
    <row r="208" spans="1:25">
      <c r="A208" s="438"/>
      <c r="B208" s="441"/>
      <c r="C208" s="441"/>
      <c r="D208" s="441"/>
      <c r="E208" s="441"/>
      <c r="F208" s="441"/>
      <c r="G208" s="441"/>
      <c r="H208" s="441"/>
      <c r="I208" s="441"/>
      <c r="J208" s="441"/>
    </row>
    <row r="209" spans="1:25">
      <c r="A209" s="438"/>
      <c r="B209" s="441"/>
      <c r="C209" s="441"/>
      <c r="D209" s="441"/>
      <c r="E209" s="441"/>
      <c r="F209" s="441"/>
      <c r="G209" s="441"/>
      <c r="H209" s="441"/>
      <c r="I209" s="441"/>
      <c r="J209" s="441"/>
    </row>
    <row r="210" spans="1:25">
      <c r="A210" s="438"/>
      <c r="B210" s="441"/>
      <c r="C210" s="441"/>
      <c r="D210" s="441"/>
      <c r="E210" s="441"/>
      <c r="F210" s="441"/>
      <c r="G210" s="441"/>
      <c r="H210" s="441"/>
      <c r="I210" s="441"/>
      <c r="J210" s="441"/>
    </row>
    <row r="211" spans="1:25">
      <c r="A211" s="438"/>
      <c r="B211" s="441"/>
      <c r="C211" s="441"/>
      <c r="D211" s="441"/>
      <c r="E211" s="441"/>
      <c r="F211" s="441"/>
      <c r="G211" s="441"/>
      <c r="H211" s="441"/>
      <c r="I211" s="441"/>
      <c r="J211" s="441"/>
    </row>
    <row r="212" spans="1:25">
      <c r="A212" s="438"/>
      <c r="B212" s="441"/>
      <c r="C212" s="441"/>
      <c r="D212" s="441"/>
      <c r="E212" s="441"/>
      <c r="F212" s="441"/>
      <c r="G212" s="441"/>
      <c r="H212" s="441"/>
      <c r="I212" s="441"/>
      <c r="J212" s="441"/>
    </row>
    <row r="213" spans="1:25">
      <c r="A213" s="438"/>
      <c r="B213" s="441"/>
      <c r="C213" s="441"/>
      <c r="D213" s="441"/>
      <c r="E213" s="441"/>
      <c r="F213" s="441"/>
      <c r="G213" s="441"/>
      <c r="H213" s="441"/>
      <c r="I213" s="441"/>
      <c r="J213" s="441"/>
      <c r="Y213" s="460"/>
    </row>
    <row r="214" spans="1:25">
      <c r="A214" s="438"/>
      <c r="B214" s="441"/>
      <c r="C214" s="441"/>
      <c r="D214" s="441"/>
      <c r="E214" s="441"/>
      <c r="F214" s="441"/>
      <c r="G214" s="441"/>
      <c r="H214" s="441"/>
      <c r="I214" s="441"/>
      <c r="J214" s="441"/>
    </row>
    <row r="215" spans="1:25">
      <c r="A215" s="438"/>
      <c r="B215" s="441"/>
      <c r="C215" s="441"/>
      <c r="D215" s="441"/>
      <c r="E215" s="441"/>
      <c r="F215" s="441"/>
      <c r="G215" s="441"/>
      <c r="H215" s="441"/>
      <c r="I215" s="441"/>
      <c r="J215" s="441"/>
    </row>
    <row r="216" spans="1:25">
      <c r="A216" s="438"/>
      <c r="B216" s="441"/>
      <c r="C216" s="441"/>
      <c r="D216" s="441"/>
      <c r="E216" s="441"/>
      <c r="F216" s="441"/>
      <c r="G216" s="441"/>
      <c r="H216" s="441"/>
      <c r="I216" s="441"/>
      <c r="J216" s="441"/>
    </row>
    <row r="217" spans="1:25">
      <c r="A217" s="438"/>
      <c r="B217" s="441"/>
      <c r="C217" s="441"/>
      <c r="D217" s="441"/>
      <c r="E217" s="441"/>
      <c r="F217" s="441"/>
      <c r="G217" s="441"/>
      <c r="H217" s="441"/>
      <c r="I217" s="441"/>
      <c r="J217" s="441"/>
    </row>
    <row r="218" spans="1:25">
      <c r="A218" s="438"/>
      <c r="B218" s="441"/>
      <c r="C218" s="441"/>
      <c r="D218" s="441"/>
      <c r="E218" s="441"/>
      <c r="F218" s="441"/>
      <c r="G218" s="441"/>
      <c r="H218" s="441"/>
      <c r="I218" s="441"/>
      <c r="J218" s="441"/>
    </row>
    <row r="219" spans="1:25">
      <c r="A219" s="438"/>
      <c r="B219" s="441"/>
      <c r="C219" s="441"/>
      <c r="D219" s="441"/>
      <c r="E219" s="441"/>
      <c r="F219" s="441"/>
      <c r="G219" s="441"/>
      <c r="H219" s="441"/>
      <c r="I219" s="441"/>
      <c r="J219" s="441"/>
    </row>
    <row r="220" spans="1:25">
      <c r="A220" s="438"/>
      <c r="B220" s="441"/>
      <c r="C220" s="441"/>
      <c r="D220" s="441"/>
      <c r="E220" s="441"/>
      <c r="F220" s="441"/>
      <c r="G220" s="441"/>
      <c r="H220" s="441"/>
      <c r="I220" s="441"/>
      <c r="J220" s="441"/>
    </row>
    <row r="221" spans="1:25">
      <c r="A221" s="438"/>
      <c r="B221" s="441"/>
      <c r="C221" s="441"/>
      <c r="D221" s="441"/>
      <c r="E221" s="441"/>
      <c r="F221" s="441"/>
      <c r="G221" s="441"/>
      <c r="H221" s="441"/>
      <c r="I221" s="441"/>
      <c r="J221" s="441"/>
    </row>
    <row r="222" spans="1:25">
      <c r="A222" s="438"/>
      <c r="B222" s="441"/>
      <c r="C222" s="441"/>
      <c r="D222" s="441"/>
      <c r="E222" s="441"/>
      <c r="F222" s="441"/>
      <c r="G222" s="441"/>
      <c r="H222" s="441"/>
      <c r="I222" s="441"/>
      <c r="J222" s="441"/>
    </row>
    <row r="223" spans="1:25">
      <c r="A223" s="438"/>
      <c r="B223" s="441"/>
      <c r="C223" s="441"/>
      <c r="D223" s="441"/>
      <c r="E223" s="441"/>
      <c r="F223" s="441"/>
      <c r="G223" s="441"/>
      <c r="H223" s="441"/>
      <c r="I223" s="441"/>
      <c r="J223" s="441"/>
    </row>
    <row r="224" spans="1:25">
      <c r="A224" s="438"/>
      <c r="B224" s="441"/>
      <c r="C224" s="441"/>
      <c r="D224" s="441"/>
      <c r="E224" s="441"/>
      <c r="F224" s="441"/>
      <c r="G224" s="441"/>
      <c r="H224" s="441"/>
      <c r="I224" s="441"/>
      <c r="J224" s="441"/>
    </row>
    <row r="225" spans="1:29">
      <c r="A225" s="438"/>
      <c r="B225" s="441"/>
      <c r="C225" s="441"/>
      <c r="D225" s="441"/>
      <c r="E225" s="441"/>
      <c r="F225" s="441"/>
      <c r="G225" s="441"/>
      <c r="H225" s="441"/>
      <c r="I225" s="441"/>
      <c r="J225" s="441"/>
    </row>
    <row r="226" spans="1:29">
      <c r="A226" s="438"/>
      <c r="B226" s="441"/>
      <c r="C226" s="441"/>
      <c r="D226" s="441"/>
      <c r="E226" s="441"/>
      <c r="F226" s="441"/>
      <c r="G226" s="441"/>
      <c r="H226" s="441"/>
      <c r="I226" s="441"/>
      <c r="J226" s="441"/>
    </row>
    <row r="227" spans="1:29">
      <c r="A227" s="438"/>
      <c r="B227" s="441"/>
      <c r="C227" s="441"/>
      <c r="D227" s="441"/>
      <c r="E227" s="441"/>
      <c r="F227" s="441"/>
      <c r="G227" s="441"/>
      <c r="H227" s="441"/>
      <c r="I227" s="441"/>
      <c r="J227" s="441"/>
    </row>
    <row r="228" spans="1:29">
      <c r="A228" s="438"/>
      <c r="B228" s="441"/>
      <c r="C228" s="441"/>
      <c r="D228" s="441"/>
      <c r="E228" s="441"/>
      <c r="F228" s="441"/>
      <c r="G228" s="441"/>
      <c r="H228" s="441"/>
      <c r="I228" s="441"/>
      <c r="J228" s="441"/>
    </row>
    <row r="229" spans="1:29">
      <c r="A229" s="438"/>
      <c r="B229" s="441"/>
      <c r="C229" s="441"/>
      <c r="D229" s="441"/>
      <c r="E229" s="441"/>
      <c r="F229" s="441"/>
      <c r="G229" s="441"/>
      <c r="H229" s="441"/>
      <c r="I229" s="441"/>
      <c r="J229" s="441"/>
      <c r="W229" s="460"/>
      <c r="X229" s="460"/>
      <c r="Y229" s="460"/>
      <c r="AC229" s="460"/>
    </row>
    <row r="230" spans="1:29">
      <c r="A230" s="438"/>
      <c r="B230" s="441"/>
      <c r="C230" s="441"/>
      <c r="D230" s="441"/>
      <c r="E230" s="441"/>
      <c r="F230" s="441"/>
      <c r="G230" s="441"/>
      <c r="H230" s="441"/>
      <c r="I230" s="441"/>
      <c r="J230" s="441"/>
    </row>
    <row r="231" spans="1:29">
      <c r="A231" s="438"/>
      <c r="B231" s="441"/>
      <c r="C231" s="441"/>
      <c r="D231" s="441"/>
      <c r="E231" s="441"/>
      <c r="F231" s="441"/>
      <c r="G231" s="441"/>
      <c r="H231" s="441"/>
      <c r="I231" s="441"/>
      <c r="J231" s="441"/>
    </row>
    <row r="232" spans="1:29">
      <c r="A232" s="438"/>
      <c r="B232" s="441"/>
      <c r="C232" s="441"/>
      <c r="D232" s="441"/>
      <c r="E232" s="441"/>
      <c r="F232" s="441"/>
      <c r="G232" s="441"/>
      <c r="H232" s="441"/>
      <c r="I232" s="441"/>
      <c r="J232" s="441"/>
    </row>
    <row r="233" spans="1:29">
      <c r="A233" s="438"/>
      <c r="B233" s="441"/>
      <c r="C233" s="441"/>
      <c r="D233" s="441"/>
      <c r="E233" s="441"/>
      <c r="F233" s="441"/>
      <c r="G233" s="441"/>
      <c r="H233" s="441"/>
      <c r="I233" s="441"/>
      <c r="J233" s="441"/>
    </row>
    <row r="234" spans="1:29">
      <c r="A234" s="438"/>
      <c r="B234" s="441"/>
      <c r="C234" s="441"/>
      <c r="D234" s="441"/>
      <c r="E234" s="441"/>
      <c r="F234" s="441"/>
      <c r="G234" s="441"/>
      <c r="H234" s="441"/>
      <c r="I234" s="441"/>
      <c r="J234" s="441"/>
    </row>
    <row r="235" spans="1:29">
      <c r="A235" s="438"/>
      <c r="B235" s="441"/>
      <c r="C235" s="441"/>
      <c r="D235" s="441"/>
      <c r="E235" s="441"/>
      <c r="F235" s="441"/>
      <c r="G235" s="441"/>
      <c r="H235" s="441"/>
      <c r="I235" s="441"/>
      <c r="J235" s="441"/>
    </row>
    <row r="236" spans="1:29">
      <c r="A236" s="438"/>
      <c r="B236" s="441"/>
      <c r="C236" s="441"/>
      <c r="D236" s="441"/>
      <c r="E236" s="441"/>
      <c r="F236" s="441"/>
      <c r="G236" s="441"/>
      <c r="H236" s="441"/>
      <c r="I236" s="441"/>
      <c r="J236" s="441"/>
    </row>
    <row r="237" spans="1:29">
      <c r="A237" s="438"/>
      <c r="B237" s="441"/>
      <c r="C237" s="441"/>
      <c r="D237" s="441"/>
      <c r="E237" s="441"/>
      <c r="F237" s="441"/>
      <c r="G237" s="441"/>
      <c r="H237" s="441"/>
      <c r="I237" s="441"/>
      <c r="J237" s="441"/>
    </row>
    <row r="238" spans="1:29">
      <c r="A238" s="438"/>
      <c r="B238" s="441"/>
      <c r="C238" s="441"/>
      <c r="D238" s="441"/>
      <c r="E238" s="441"/>
      <c r="F238" s="441"/>
      <c r="G238" s="441"/>
      <c r="H238" s="441"/>
      <c r="I238" s="441"/>
      <c r="J238" s="441"/>
    </row>
    <row r="239" spans="1:29">
      <c r="A239" s="438"/>
      <c r="B239" s="441"/>
      <c r="C239" s="441"/>
      <c r="D239" s="441"/>
      <c r="E239" s="441"/>
      <c r="F239" s="441"/>
      <c r="G239" s="441"/>
      <c r="H239" s="441"/>
      <c r="I239" s="441"/>
      <c r="J239" s="441"/>
    </row>
    <row r="240" spans="1:29">
      <c r="A240" s="438"/>
      <c r="B240" s="441"/>
      <c r="C240" s="441"/>
      <c r="D240" s="441"/>
      <c r="E240" s="441"/>
      <c r="F240" s="441"/>
      <c r="G240" s="441"/>
      <c r="H240" s="441"/>
      <c r="I240" s="441"/>
      <c r="J240" s="441"/>
    </row>
    <row r="241" spans="1:10">
      <c r="A241" s="438"/>
      <c r="B241" s="441"/>
      <c r="C241" s="441"/>
      <c r="D241" s="441"/>
      <c r="E241" s="441"/>
      <c r="F241" s="441"/>
      <c r="G241" s="441"/>
      <c r="H241" s="441"/>
      <c r="I241" s="441"/>
      <c r="J241" s="441"/>
    </row>
    <row r="242" spans="1:10">
      <c r="A242" s="438"/>
      <c r="B242" s="441"/>
      <c r="C242" s="441"/>
      <c r="D242" s="441"/>
      <c r="E242" s="441"/>
      <c r="F242" s="441"/>
      <c r="G242" s="441"/>
      <c r="H242" s="441"/>
      <c r="I242" s="441"/>
      <c r="J242" s="441"/>
    </row>
    <row r="243" spans="1:10">
      <c r="A243" s="438"/>
      <c r="B243" s="441"/>
      <c r="C243" s="441"/>
      <c r="D243" s="441"/>
      <c r="E243" s="441"/>
      <c r="F243" s="441"/>
      <c r="G243" s="441"/>
      <c r="H243" s="441"/>
      <c r="I243" s="441"/>
      <c r="J243" s="441"/>
    </row>
    <row r="244" spans="1:10">
      <c r="A244" s="438"/>
      <c r="B244" s="441"/>
      <c r="C244" s="441"/>
      <c r="D244" s="441"/>
      <c r="E244" s="441"/>
      <c r="F244" s="441"/>
      <c r="G244" s="441"/>
      <c r="H244" s="441"/>
      <c r="I244" s="441"/>
      <c r="J244" s="441"/>
    </row>
    <row r="245" spans="1:10">
      <c r="A245" s="438"/>
      <c r="B245" s="441"/>
      <c r="C245" s="441"/>
      <c r="D245" s="441"/>
      <c r="E245" s="441"/>
      <c r="F245" s="441"/>
      <c r="G245" s="441"/>
      <c r="H245" s="441"/>
      <c r="I245" s="441"/>
      <c r="J245" s="441"/>
    </row>
    <row r="246" spans="1:10">
      <c r="A246" s="438"/>
      <c r="B246" s="441"/>
      <c r="C246" s="441"/>
      <c r="D246" s="441"/>
      <c r="E246" s="441"/>
      <c r="F246" s="441"/>
      <c r="G246" s="441"/>
      <c r="H246" s="441"/>
      <c r="I246" s="441"/>
      <c r="J246" s="441"/>
    </row>
    <row r="247" spans="1:10">
      <c r="A247" s="438"/>
      <c r="B247" s="441"/>
      <c r="C247" s="441"/>
      <c r="D247" s="441"/>
      <c r="E247" s="441"/>
      <c r="F247" s="441"/>
      <c r="G247" s="441"/>
      <c r="H247" s="441"/>
      <c r="I247" s="441"/>
      <c r="J247" s="441"/>
    </row>
    <row r="248" spans="1:10">
      <c r="A248" s="438"/>
      <c r="B248" s="441"/>
      <c r="C248" s="441"/>
      <c r="D248" s="441"/>
      <c r="E248" s="441"/>
      <c r="F248" s="441"/>
      <c r="G248" s="441"/>
      <c r="H248" s="441"/>
      <c r="I248" s="441"/>
      <c r="J248" s="441"/>
    </row>
    <row r="249" spans="1:10">
      <c r="A249" s="438"/>
      <c r="B249" s="441"/>
      <c r="C249" s="441"/>
      <c r="D249" s="441"/>
      <c r="E249" s="441"/>
      <c r="F249" s="441"/>
      <c r="G249" s="441"/>
      <c r="H249" s="441"/>
      <c r="I249" s="441"/>
      <c r="J249" s="441"/>
    </row>
    <row r="250" spans="1:10">
      <c r="A250" s="438"/>
      <c r="B250" s="441"/>
      <c r="C250" s="441"/>
      <c r="D250" s="441"/>
      <c r="E250" s="441"/>
      <c r="F250" s="441"/>
      <c r="G250" s="441"/>
      <c r="H250" s="441"/>
      <c r="I250" s="441"/>
      <c r="J250" s="441"/>
    </row>
    <row r="251" spans="1:10">
      <c r="A251" s="438"/>
      <c r="B251" s="441"/>
      <c r="C251" s="441"/>
      <c r="D251" s="441"/>
      <c r="E251" s="441"/>
      <c r="F251" s="441"/>
      <c r="G251" s="441"/>
      <c r="H251" s="441"/>
      <c r="I251" s="441"/>
      <c r="J251" s="441"/>
    </row>
    <row r="252" spans="1:10">
      <c r="A252" s="438"/>
      <c r="B252" s="441"/>
      <c r="C252" s="441"/>
      <c r="D252" s="441"/>
      <c r="E252" s="441"/>
      <c r="F252" s="441"/>
      <c r="G252" s="441"/>
      <c r="H252" s="441"/>
      <c r="I252" s="441"/>
      <c r="J252" s="441"/>
    </row>
    <row r="253" spans="1:10">
      <c r="A253" s="438"/>
      <c r="B253" s="441"/>
      <c r="C253" s="441"/>
      <c r="D253" s="441"/>
      <c r="E253" s="441"/>
      <c r="F253" s="441"/>
      <c r="G253" s="441"/>
      <c r="H253" s="441"/>
      <c r="I253" s="441"/>
      <c r="J253" s="441"/>
    </row>
    <row r="254" spans="1:10">
      <c r="A254" s="438"/>
      <c r="B254" s="441"/>
      <c r="C254" s="441"/>
      <c r="D254" s="441"/>
      <c r="E254" s="441"/>
      <c r="F254" s="441"/>
      <c r="G254" s="441"/>
      <c r="H254" s="441"/>
      <c r="I254" s="441"/>
      <c r="J254" s="441"/>
    </row>
    <row r="255" spans="1:10">
      <c r="A255" s="438"/>
      <c r="B255" s="441"/>
      <c r="C255" s="441"/>
      <c r="D255" s="441"/>
      <c r="E255" s="441"/>
      <c r="F255" s="441"/>
      <c r="G255" s="441"/>
      <c r="H255" s="441"/>
      <c r="I255" s="441"/>
      <c r="J255" s="441"/>
    </row>
    <row r="256" spans="1:10">
      <c r="A256" s="438"/>
      <c r="B256" s="441"/>
      <c r="C256" s="441"/>
      <c r="D256" s="441"/>
      <c r="E256" s="441"/>
      <c r="F256" s="441"/>
      <c r="G256" s="441"/>
      <c r="H256" s="441"/>
      <c r="I256" s="441"/>
      <c r="J256" s="441"/>
    </row>
    <row r="257" spans="1:10">
      <c r="A257" s="438"/>
      <c r="B257" s="441"/>
      <c r="C257" s="441"/>
      <c r="D257" s="441"/>
      <c r="E257" s="441"/>
      <c r="F257" s="441"/>
      <c r="G257" s="441"/>
      <c r="H257" s="441"/>
      <c r="I257" s="441"/>
      <c r="J257" s="441"/>
    </row>
    <row r="258" spans="1:10">
      <c r="A258" s="438"/>
      <c r="B258" s="441"/>
      <c r="C258" s="441"/>
      <c r="D258" s="441"/>
      <c r="E258" s="441"/>
      <c r="F258" s="441"/>
      <c r="G258" s="441"/>
      <c r="H258" s="441"/>
      <c r="I258" s="441"/>
      <c r="J258" s="441"/>
    </row>
    <row r="259" spans="1:10">
      <c r="A259" s="438"/>
      <c r="B259" s="441"/>
      <c r="C259" s="441"/>
      <c r="D259" s="441"/>
      <c r="E259" s="441"/>
      <c r="F259" s="441"/>
      <c r="G259" s="441"/>
      <c r="H259" s="441"/>
      <c r="I259" s="441"/>
      <c r="J259" s="441"/>
    </row>
    <row r="260" spans="1:10">
      <c r="A260" s="438"/>
      <c r="B260" s="441"/>
      <c r="C260" s="441"/>
      <c r="D260" s="441"/>
      <c r="E260" s="441"/>
      <c r="F260" s="441"/>
      <c r="G260" s="441"/>
      <c r="H260" s="441"/>
      <c r="I260" s="441"/>
      <c r="J260" s="441"/>
    </row>
    <row r="261" spans="1:10">
      <c r="A261" s="438"/>
      <c r="B261" s="441"/>
      <c r="C261" s="441"/>
      <c r="D261" s="441"/>
      <c r="E261" s="441"/>
      <c r="F261" s="441"/>
      <c r="G261" s="441"/>
      <c r="H261" s="441"/>
      <c r="I261" s="441"/>
      <c r="J261" s="441"/>
    </row>
    <row r="262" spans="1:10">
      <c r="A262" s="438"/>
      <c r="B262" s="441"/>
      <c r="C262" s="441"/>
      <c r="D262" s="441"/>
      <c r="E262" s="441"/>
      <c r="F262" s="441"/>
      <c r="G262" s="441"/>
      <c r="H262" s="441"/>
      <c r="I262" s="441"/>
      <c r="J262" s="441"/>
    </row>
    <row r="263" spans="1:10">
      <c r="A263" s="438"/>
      <c r="B263" s="441"/>
      <c r="C263" s="441"/>
      <c r="D263" s="441"/>
      <c r="E263" s="441"/>
      <c r="F263" s="441"/>
      <c r="G263" s="441"/>
      <c r="H263" s="441"/>
      <c r="I263" s="441"/>
      <c r="J263" s="441"/>
    </row>
    <row r="264" spans="1:10">
      <c r="A264" s="438"/>
      <c r="B264" s="441"/>
      <c r="C264" s="441"/>
      <c r="D264" s="441"/>
      <c r="E264" s="441"/>
      <c r="F264" s="441"/>
      <c r="G264" s="441"/>
      <c r="H264" s="441"/>
      <c r="I264" s="441"/>
      <c r="J264" s="441"/>
    </row>
    <row r="265" spans="1:10">
      <c r="A265" s="438"/>
      <c r="B265" s="441"/>
      <c r="C265" s="441"/>
      <c r="D265" s="441"/>
      <c r="E265" s="441"/>
      <c r="F265" s="441"/>
      <c r="G265" s="441"/>
      <c r="H265" s="441"/>
      <c r="I265" s="441"/>
      <c r="J265" s="441"/>
    </row>
    <row r="266" spans="1:10">
      <c r="A266" s="438"/>
      <c r="B266" s="441"/>
      <c r="C266" s="441"/>
      <c r="D266" s="441"/>
      <c r="E266" s="441"/>
      <c r="F266" s="441"/>
      <c r="G266" s="441"/>
      <c r="H266" s="441"/>
      <c r="I266" s="441"/>
      <c r="J266" s="441"/>
    </row>
    <row r="267" spans="1:10">
      <c r="A267" s="438"/>
      <c r="B267" s="441"/>
      <c r="C267" s="441"/>
      <c r="D267" s="441"/>
      <c r="E267" s="441"/>
      <c r="F267" s="441"/>
      <c r="G267" s="441"/>
      <c r="H267" s="441"/>
      <c r="I267" s="441"/>
      <c r="J267" s="441"/>
    </row>
    <row r="268" spans="1:10">
      <c r="A268" s="438"/>
      <c r="B268" s="441"/>
      <c r="C268" s="441"/>
      <c r="D268" s="441"/>
      <c r="E268" s="441"/>
      <c r="F268" s="441"/>
      <c r="G268" s="441"/>
      <c r="H268" s="441"/>
      <c r="I268" s="441"/>
      <c r="J268" s="441"/>
    </row>
    <row r="269" spans="1:10">
      <c r="A269" s="438"/>
      <c r="B269" s="441"/>
      <c r="C269" s="441"/>
      <c r="D269" s="441"/>
      <c r="E269" s="441"/>
      <c r="F269" s="441"/>
      <c r="G269" s="441"/>
      <c r="H269" s="441"/>
      <c r="I269" s="441"/>
      <c r="J269" s="441"/>
    </row>
    <row r="270" spans="1:10">
      <c r="A270" s="438"/>
      <c r="B270" s="441"/>
      <c r="C270" s="441"/>
      <c r="D270" s="441"/>
      <c r="E270" s="441"/>
      <c r="F270" s="441"/>
      <c r="G270" s="441"/>
      <c r="H270" s="441"/>
      <c r="I270" s="441"/>
      <c r="J270" s="441"/>
    </row>
    <row r="271" spans="1:10">
      <c r="A271" s="438"/>
      <c r="B271" s="441"/>
      <c r="C271" s="441"/>
      <c r="D271" s="441"/>
      <c r="E271" s="441"/>
      <c r="F271" s="441"/>
      <c r="G271" s="441"/>
      <c r="H271" s="441"/>
      <c r="I271" s="441"/>
      <c r="J271" s="441"/>
    </row>
    <row r="272" spans="1:10">
      <c r="A272" s="438"/>
      <c r="B272" s="441"/>
      <c r="C272" s="441"/>
      <c r="D272" s="441"/>
      <c r="E272" s="441"/>
      <c r="F272" s="441"/>
      <c r="G272" s="441"/>
      <c r="H272" s="441"/>
      <c r="I272" s="441"/>
      <c r="J272" s="441"/>
    </row>
    <row r="273" spans="1:10">
      <c r="A273" s="438"/>
      <c r="B273" s="441"/>
      <c r="C273" s="441"/>
      <c r="D273" s="441"/>
      <c r="E273" s="441"/>
      <c r="F273" s="441"/>
      <c r="G273" s="441"/>
      <c r="H273" s="441"/>
      <c r="I273" s="441"/>
      <c r="J273" s="441"/>
    </row>
    <row r="274" spans="1:10">
      <c r="A274" s="438"/>
      <c r="B274" s="441"/>
      <c r="C274" s="441"/>
      <c r="D274" s="441"/>
      <c r="E274" s="441"/>
      <c r="F274" s="441"/>
      <c r="G274" s="441"/>
      <c r="H274" s="441"/>
      <c r="I274" s="441"/>
      <c r="J274" s="441"/>
    </row>
    <row r="275" spans="1:10">
      <c r="A275" s="438"/>
      <c r="B275" s="441"/>
      <c r="C275" s="441"/>
      <c r="D275" s="441"/>
      <c r="E275" s="441"/>
      <c r="F275" s="441"/>
      <c r="G275" s="441"/>
      <c r="H275" s="441"/>
      <c r="I275" s="441"/>
      <c r="J275" s="441"/>
    </row>
    <row r="276" spans="1:10">
      <c r="A276" s="438"/>
      <c r="B276" s="441"/>
      <c r="C276" s="441"/>
      <c r="D276" s="441"/>
      <c r="E276" s="441"/>
      <c r="F276" s="441"/>
      <c r="G276" s="441"/>
      <c r="H276" s="441"/>
      <c r="I276" s="441"/>
      <c r="J276" s="441"/>
    </row>
    <row r="277" spans="1:10">
      <c r="A277" s="438"/>
      <c r="B277" s="441"/>
      <c r="C277" s="441"/>
      <c r="D277" s="441"/>
      <c r="E277" s="441"/>
      <c r="F277" s="441"/>
      <c r="G277" s="441"/>
      <c r="H277" s="441"/>
      <c r="I277" s="441"/>
      <c r="J277" s="441"/>
    </row>
    <row r="278" spans="1:10">
      <c r="A278" s="438"/>
      <c r="B278" s="441"/>
      <c r="C278" s="441"/>
      <c r="D278" s="441"/>
      <c r="E278" s="441"/>
      <c r="F278" s="441"/>
      <c r="G278" s="441"/>
      <c r="H278" s="441"/>
      <c r="I278" s="441"/>
      <c r="J278" s="441"/>
    </row>
    <row r="279" spans="1:10">
      <c r="A279" s="438"/>
      <c r="B279" s="441"/>
      <c r="C279" s="441"/>
      <c r="D279" s="441"/>
      <c r="E279" s="441"/>
      <c r="F279" s="441"/>
      <c r="G279" s="441"/>
      <c r="H279" s="441"/>
      <c r="I279" s="441"/>
      <c r="J279" s="441"/>
    </row>
    <row r="280" spans="1:10">
      <c r="A280" s="438"/>
      <c r="B280" s="441"/>
      <c r="C280" s="441"/>
      <c r="D280" s="441"/>
      <c r="E280" s="441"/>
      <c r="F280" s="441"/>
      <c r="G280" s="441"/>
      <c r="H280" s="441"/>
      <c r="I280" s="441"/>
      <c r="J280" s="441"/>
    </row>
    <row r="281" spans="1:10">
      <c r="A281" s="438"/>
      <c r="B281" s="441"/>
      <c r="C281" s="441"/>
      <c r="D281" s="441"/>
      <c r="E281" s="441"/>
      <c r="F281" s="441"/>
      <c r="G281" s="441"/>
      <c r="H281" s="441"/>
      <c r="I281" s="441"/>
      <c r="J281" s="441"/>
    </row>
    <row r="282" spans="1:10">
      <c r="A282" s="438"/>
      <c r="B282" s="441"/>
      <c r="C282" s="441"/>
      <c r="D282" s="441"/>
      <c r="E282" s="441"/>
      <c r="F282" s="441"/>
      <c r="G282" s="441"/>
      <c r="H282" s="441"/>
      <c r="I282" s="441"/>
      <c r="J282" s="441"/>
    </row>
    <row r="283" spans="1:10">
      <c r="A283" s="438"/>
      <c r="B283" s="441"/>
      <c r="C283" s="441"/>
      <c r="D283" s="441"/>
      <c r="E283" s="441"/>
      <c r="F283" s="441"/>
      <c r="G283" s="441"/>
      <c r="H283" s="441"/>
      <c r="I283" s="441"/>
      <c r="J283" s="441"/>
    </row>
    <row r="284" spans="1:10">
      <c r="A284" s="438"/>
      <c r="B284" s="441"/>
      <c r="C284" s="441"/>
      <c r="D284" s="441"/>
      <c r="E284" s="441"/>
      <c r="F284" s="441"/>
      <c r="G284" s="441"/>
      <c r="H284" s="441"/>
      <c r="I284" s="441"/>
      <c r="J284" s="441"/>
    </row>
    <row r="285" spans="1:10">
      <c r="A285" s="438"/>
      <c r="B285" s="441"/>
      <c r="C285" s="441"/>
      <c r="D285" s="441"/>
      <c r="E285" s="441"/>
      <c r="F285" s="441"/>
      <c r="G285" s="441"/>
      <c r="H285" s="441"/>
      <c r="I285" s="441"/>
      <c r="J285" s="441"/>
    </row>
    <row r="286" spans="1:10">
      <c r="A286" s="438"/>
      <c r="B286" s="441"/>
      <c r="C286" s="441"/>
      <c r="D286" s="441"/>
      <c r="E286" s="441"/>
      <c r="F286" s="441"/>
      <c r="G286" s="441"/>
      <c r="H286" s="441"/>
      <c r="I286" s="441"/>
      <c r="J286" s="441"/>
    </row>
    <row r="287" spans="1:10">
      <c r="A287" s="438"/>
      <c r="B287" s="441"/>
      <c r="C287" s="441"/>
      <c r="D287" s="441"/>
      <c r="E287" s="441"/>
      <c r="F287" s="441"/>
      <c r="G287" s="441"/>
      <c r="H287" s="441"/>
      <c r="I287" s="441"/>
      <c r="J287" s="441"/>
    </row>
    <row r="288" spans="1:10">
      <c r="A288" s="438"/>
      <c r="B288" s="441"/>
      <c r="C288" s="441"/>
      <c r="D288" s="441"/>
      <c r="E288" s="441"/>
      <c r="F288" s="441"/>
      <c r="G288" s="441"/>
      <c r="H288" s="441"/>
      <c r="I288" s="441"/>
      <c r="J288" s="441"/>
    </row>
    <row r="289" spans="1:10">
      <c r="A289" s="438"/>
      <c r="B289" s="441"/>
      <c r="C289" s="441"/>
      <c r="D289" s="441"/>
      <c r="E289" s="441"/>
      <c r="F289" s="441"/>
      <c r="G289" s="441"/>
      <c r="H289" s="441"/>
      <c r="I289" s="441"/>
      <c r="J289" s="441"/>
    </row>
    <row r="290" spans="1:10">
      <c r="A290" s="438"/>
      <c r="B290" s="441"/>
      <c r="C290" s="441"/>
      <c r="D290" s="441"/>
      <c r="E290" s="441"/>
      <c r="F290" s="441"/>
      <c r="G290" s="441"/>
      <c r="H290" s="441"/>
      <c r="I290" s="441"/>
      <c r="J290" s="441"/>
    </row>
    <row r="291" spans="1:10">
      <c r="A291" s="438"/>
      <c r="B291" s="441"/>
      <c r="C291" s="441"/>
      <c r="D291" s="441"/>
      <c r="E291" s="441"/>
      <c r="F291" s="441"/>
      <c r="G291" s="441"/>
      <c r="H291" s="441"/>
      <c r="I291" s="441"/>
      <c r="J291" s="441"/>
    </row>
    <row r="292" spans="1:10">
      <c r="A292" s="438"/>
      <c r="B292" s="441"/>
      <c r="C292" s="441"/>
      <c r="D292" s="441"/>
      <c r="E292" s="441"/>
      <c r="F292" s="441"/>
      <c r="G292" s="441"/>
      <c r="H292" s="441"/>
      <c r="I292" s="441"/>
      <c r="J292" s="441"/>
    </row>
    <row r="293" spans="1:10">
      <c r="A293" s="438"/>
      <c r="B293" s="441"/>
      <c r="C293" s="441"/>
      <c r="D293" s="441"/>
      <c r="E293" s="441"/>
      <c r="F293" s="441"/>
      <c r="G293" s="441"/>
      <c r="H293" s="441"/>
      <c r="I293" s="441"/>
      <c r="J293" s="441"/>
    </row>
    <row r="294" spans="1:10">
      <c r="A294" s="438"/>
      <c r="B294" s="441"/>
      <c r="C294" s="441"/>
      <c r="D294" s="441"/>
      <c r="E294" s="441"/>
      <c r="F294" s="441"/>
      <c r="G294" s="441"/>
      <c r="H294" s="441"/>
      <c r="I294" s="441"/>
      <c r="J294" s="441"/>
    </row>
    <row r="295" spans="1:10">
      <c r="A295" s="438"/>
      <c r="B295" s="441"/>
      <c r="C295" s="441"/>
      <c r="D295" s="441"/>
      <c r="E295" s="441"/>
      <c r="F295" s="441"/>
      <c r="G295" s="441"/>
      <c r="H295" s="441"/>
      <c r="I295" s="441"/>
      <c r="J295" s="441"/>
    </row>
    <row r="296" spans="1:10">
      <c r="A296" s="438"/>
      <c r="B296" s="441"/>
      <c r="C296" s="441"/>
      <c r="D296" s="441"/>
      <c r="E296" s="441"/>
      <c r="F296" s="441"/>
      <c r="G296" s="441"/>
      <c r="H296" s="441"/>
      <c r="I296" s="441"/>
      <c r="J296" s="441"/>
    </row>
    <row r="297" spans="1:10">
      <c r="A297" s="438"/>
      <c r="B297" s="441"/>
      <c r="C297" s="441"/>
      <c r="D297" s="441"/>
      <c r="E297" s="441"/>
      <c r="F297" s="441"/>
      <c r="G297" s="441"/>
      <c r="H297" s="441"/>
      <c r="I297" s="441"/>
      <c r="J297" s="441"/>
    </row>
    <row r="298" spans="1:10">
      <c r="A298" s="438"/>
      <c r="B298" s="441"/>
      <c r="C298" s="441"/>
      <c r="D298" s="441"/>
      <c r="E298" s="441"/>
      <c r="F298" s="441"/>
      <c r="G298" s="441"/>
      <c r="H298" s="441"/>
      <c r="I298" s="441"/>
      <c r="J298" s="441"/>
    </row>
    <row r="299" spans="1:10">
      <c r="A299" s="438"/>
      <c r="B299" s="441"/>
      <c r="C299" s="441"/>
      <c r="D299" s="441"/>
      <c r="E299" s="441"/>
      <c r="F299" s="441"/>
      <c r="G299" s="441"/>
      <c r="H299" s="441"/>
      <c r="I299" s="441"/>
      <c r="J299" s="441"/>
    </row>
    <row r="300" spans="1:10">
      <c r="A300" s="438"/>
      <c r="B300" s="441"/>
      <c r="C300" s="441"/>
      <c r="D300" s="441"/>
      <c r="E300" s="441"/>
      <c r="F300" s="441"/>
      <c r="G300" s="441"/>
      <c r="H300" s="441"/>
      <c r="I300" s="441"/>
      <c r="J300" s="441"/>
    </row>
    <row r="301" spans="1:10">
      <c r="A301" s="438"/>
      <c r="B301" s="441"/>
      <c r="C301" s="441"/>
      <c r="D301" s="441"/>
      <c r="E301" s="441"/>
      <c r="F301" s="441"/>
      <c r="G301" s="441"/>
      <c r="H301" s="441"/>
      <c r="I301" s="441"/>
      <c r="J301" s="441"/>
    </row>
    <row r="302" spans="1:10">
      <c r="A302" s="438"/>
      <c r="B302" s="441"/>
      <c r="C302" s="441"/>
      <c r="D302" s="441"/>
      <c r="E302" s="441"/>
      <c r="F302" s="441"/>
      <c r="G302" s="441"/>
      <c r="H302" s="441"/>
      <c r="I302" s="441"/>
      <c r="J302" s="441"/>
    </row>
    <row r="303" spans="1:10">
      <c r="A303" s="438"/>
      <c r="B303" s="441"/>
      <c r="C303" s="441"/>
      <c r="D303" s="441"/>
      <c r="E303" s="441"/>
      <c r="F303" s="441"/>
      <c r="G303" s="441"/>
      <c r="H303" s="441"/>
      <c r="I303" s="441"/>
      <c r="J303" s="441"/>
    </row>
    <row r="304" spans="1:10">
      <c r="A304" s="438"/>
      <c r="B304" s="441"/>
      <c r="C304" s="441"/>
      <c r="D304" s="441"/>
      <c r="E304" s="441"/>
      <c r="F304" s="441"/>
      <c r="G304" s="441"/>
      <c r="H304" s="441"/>
      <c r="I304" s="441"/>
      <c r="J304" s="441"/>
    </row>
    <row r="305" spans="1:10">
      <c r="A305" s="438"/>
      <c r="B305" s="441"/>
      <c r="C305" s="441"/>
      <c r="D305" s="441"/>
      <c r="E305" s="441"/>
      <c r="F305" s="441"/>
      <c r="G305" s="441"/>
      <c r="H305" s="441"/>
      <c r="I305" s="441"/>
      <c r="J305" s="441"/>
    </row>
    <row r="306" spans="1:10">
      <c r="A306" s="438"/>
      <c r="B306" s="441"/>
      <c r="C306" s="441"/>
      <c r="D306" s="441"/>
      <c r="E306" s="441"/>
      <c r="F306" s="441"/>
      <c r="G306" s="441"/>
      <c r="H306" s="441"/>
      <c r="I306" s="441"/>
      <c r="J306" s="441"/>
    </row>
    <row r="307" spans="1:10">
      <c r="A307" s="438"/>
      <c r="B307" s="441"/>
      <c r="C307" s="441"/>
      <c r="D307" s="441"/>
      <c r="E307" s="441"/>
      <c r="F307" s="441"/>
      <c r="G307" s="441"/>
      <c r="H307" s="441"/>
      <c r="I307" s="441"/>
      <c r="J307" s="441"/>
    </row>
    <row r="308" spans="1:10">
      <c r="A308" s="438"/>
      <c r="B308" s="441"/>
      <c r="C308" s="441"/>
      <c r="D308" s="441"/>
      <c r="E308" s="441"/>
      <c r="F308" s="441"/>
      <c r="G308" s="441"/>
      <c r="H308" s="441"/>
      <c r="I308" s="441"/>
      <c r="J308" s="441"/>
    </row>
    <row r="309" spans="1:10">
      <c r="A309" s="438"/>
      <c r="B309" s="441"/>
      <c r="C309" s="441"/>
      <c r="D309" s="441"/>
      <c r="E309" s="441"/>
      <c r="F309" s="441"/>
      <c r="G309" s="441"/>
      <c r="H309" s="441"/>
      <c r="I309" s="441"/>
      <c r="J309" s="441"/>
    </row>
    <row r="310" spans="1:10">
      <c r="A310" s="438"/>
      <c r="B310" s="441"/>
      <c r="C310" s="441"/>
      <c r="D310" s="441"/>
      <c r="E310" s="441"/>
      <c r="F310" s="441"/>
      <c r="G310" s="441"/>
      <c r="H310" s="441"/>
      <c r="I310" s="441"/>
      <c r="J310" s="441"/>
    </row>
    <row r="311" spans="1:10">
      <c r="A311" s="438"/>
      <c r="B311" s="441"/>
      <c r="C311" s="441"/>
      <c r="D311" s="441"/>
      <c r="E311" s="441"/>
      <c r="F311" s="441"/>
      <c r="G311" s="441"/>
      <c r="H311" s="441"/>
      <c r="I311" s="441"/>
      <c r="J311" s="441"/>
    </row>
    <row r="312" spans="1:10">
      <c r="A312" s="438"/>
      <c r="B312" s="441"/>
      <c r="C312" s="441"/>
      <c r="D312" s="441"/>
      <c r="E312" s="441"/>
      <c r="F312" s="441"/>
      <c r="G312" s="441"/>
      <c r="H312" s="441"/>
      <c r="I312" s="441"/>
      <c r="J312" s="441"/>
    </row>
    <row r="313" spans="1:10">
      <c r="A313" s="438"/>
      <c r="B313" s="441"/>
      <c r="C313" s="441"/>
      <c r="D313" s="441"/>
      <c r="E313" s="441"/>
      <c r="F313" s="441"/>
      <c r="G313" s="441"/>
      <c r="H313" s="441"/>
      <c r="I313" s="441"/>
      <c r="J313" s="441"/>
    </row>
    <row r="314" spans="1:10">
      <c r="A314" s="438"/>
      <c r="B314" s="441"/>
      <c r="C314" s="441"/>
      <c r="D314" s="441"/>
      <c r="E314" s="441"/>
      <c r="F314" s="441"/>
      <c r="G314" s="441"/>
      <c r="H314" s="441"/>
      <c r="I314" s="441"/>
      <c r="J314" s="441"/>
    </row>
    <row r="315" spans="1:10">
      <c r="A315" s="438"/>
      <c r="B315" s="441"/>
      <c r="C315" s="441"/>
      <c r="D315" s="441"/>
      <c r="E315" s="441"/>
      <c r="F315" s="441"/>
      <c r="G315" s="441"/>
      <c r="H315" s="441"/>
      <c r="I315" s="441"/>
      <c r="J315" s="441"/>
    </row>
    <row r="316" spans="1:10">
      <c r="A316" s="438"/>
      <c r="B316" s="441"/>
      <c r="C316" s="441"/>
      <c r="D316" s="441"/>
      <c r="E316" s="441"/>
      <c r="F316" s="441"/>
      <c r="G316" s="441"/>
      <c r="H316" s="441"/>
      <c r="I316" s="441"/>
      <c r="J316" s="441"/>
    </row>
    <row r="317" spans="1:10">
      <c r="A317" s="438"/>
      <c r="B317" s="441"/>
      <c r="C317" s="441"/>
      <c r="D317" s="441"/>
      <c r="E317" s="441"/>
      <c r="F317" s="441"/>
      <c r="G317" s="441"/>
      <c r="H317" s="441"/>
      <c r="I317" s="441"/>
      <c r="J317" s="441"/>
    </row>
    <row r="318" spans="1:10">
      <c r="A318" s="438"/>
      <c r="B318" s="441"/>
      <c r="C318" s="441"/>
      <c r="D318" s="441"/>
      <c r="E318" s="441"/>
      <c r="F318" s="441"/>
      <c r="G318" s="441"/>
      <c r="H318" s="441"/>
      <c r="I318" s="441"/>
      <c r="J318" s="441"/>
    </row>
    <row r="319" spans="1:10">
      <c r="A319" s="438"/>
      <c r="B319" s="441"/>
      <c r="C319" s="441"/>
      <c r="D319" s="441"/>
      <c r="E319" s="441"/>
      <c r="F319" s="441"/>
      <c r="G319" s="441"/>
      <c r="H319" s="441"/>
      <c r="I319" s="441"/>
      <c r="J319" s="441"/>
    </row>
    <row r="320" spans="1:10">
      <c r="A320" s="438"/>
      <c r="B320" s="441"/>
      <c r="C320" s="441"/>
      <c r="D320" s="441"/>
      <c r="E320" s="441"/>
      <c r="F320" s="441"/>
      <c r="G320" s="441"/>
      <c r="H320" s="441"/>
      <c r="I320" s="441"/>
      <c r="J320" s="441"/>
    </row>
    <row r="321" spans="1:10">
      <c r="A321" s="438"/>
      <c r="B321" s="441"/>
      <c r="C321" s="441"/>
      <c r="D321" s="441"/>
      <c r="E321" s="441"/>
      <c r="F321" s="441"/>
      <c r="G321" s="441"/>
      <c r="H321" s="441"/>
      <c r="I321" s="441"/>
      <c r="J321" s="441"/>
    </row>
    <row r="322" spans="1:10">
      <c r="A322" s="438"/>
      <c r="B322" s="441"/>
      <c r="C322" s="441"/>
      <c r="D322" s="441"/>
      <c r="E322" s="441"/>
      <c r="F322" s="441"/>
      <c r="G322" s="441"/>
      <c r="H322" s="441"/>
      <c r="I322" s="441"/>
      <c r="J322" s="441"/>
    </row>
    <row r="323" spans="1:10">
      <c r="A323" s="438"/>
      <c r="B323" s="441"/>
      <c r="C323" s="441"/>
      <c r="D323" s="441"/>
      <c r="E323" s="441"/>
      <c r="F323" s="441"/>
      <c r="G323" s="441"/>
      <c r="H323" s="441"/>
      <c r="I323" s="441"/>
      <c r="J323" s="441"/>
    </row>
    <row r="324" spans="1:10">
      <c r="A324" s="438"/>
      <c r="B324" s="441"/>
      <c r="C324" s="441"/>
      <c r="D324" s="441"/>
      <c r="E324" s="441"/>
      <c r="F324" s="441"/>
      <c r="G324" s="441"/>
      <c r="H324" s="441"/>
      <c r="I324" s="441"/>
      <c r="J324" s="441"/>
    </row>
    <row r="325" spans="1:10">
      <c r="A325" s="438"/>
      <c r="B325" s="441"/>
      <c r="C325" s="441"/>
      <c r="D325" s="441"/>
      <c r="E325" s="441"/>
      <c r="F325" s="441"/>
      <c r="G325" s="441"/>
      <c r="H325" s="441"/>
      <c r="I325" s="441"/>
      <c r="J325" s="441"/>
    </row>
    <row r="326" spans="1:10">
      <c r="A326" s="438"/>
      <c r="B326" s="441"/>
      <c r="C326" s="441"/>
      <c r="D326" s="441"/>
      <c r="E326" s="441"/>
      <c r="F326" s="441"/>
      <c r="G326" s="441"/>
      <c r="H326" s="441"/>
      <c r="I326" s="441"/>
      <c r="J326" s="441"/>
    </row>
    <row r="327" spans="1:10">
      <c r="A327" s="438"/>
      <c r="B327" s="441"/>
      <c r="C327" s="441"/>
      <c r="D327" s="441"/>
      <c r="E327" s="441"/>
      <c r="F327" s="441"/>
      <c r="G327" s="441"/>
      <c r="H327" s="441"/>
      <c r="I327" s="441"/>
      <c r="J327" s="441"/>
    </row>
    <row r="328" spans="1:10">
      <c r="A328" s="438"/>
      <c r="B328" s="441"/>
      <c r="C328" s="441"/>
      <c r="D328" s="441"/>
      <c r="E328" s="441"/>
      <c r="F328" s="441"/>
      <c r="G328" s="441"/>
      <c r="H328" s="441"/>
      <c r="I328" s="441"/>
      <c r="J328" s="441"/>
    </row>
    <row r="329" spans="1:10">
      <c r="A329" s="438"/>
      <c r="B329" s="441"/>
      <c r="C329" s="441"/>
      <c r="D329" s="441"/>
      <c r="E329" s="441"/>
      <c r="F329" s="441"/>
      <c r="G329" s="441"/>
      <c r="H329" s="441"/>
      <c r="I329" s="441"/>
      <c r="J329" s="441"/>
    </row>
    <row r="330" spans="1:10">
      <c r="A330" s="438"/>
      <c r="B330" s="441"/>
      <c r="C330" s="441"/>
      <c r="D330" s="441"/>
      <c r="E330" s="441"/>
      <c r="F330" s="441"/>
      <c r="G330" s="441"/>
      <c r="H330" s="441"/>
      <c r="I330" s="441"/>
      <c r="J330" s="441"/>
    </row>
    <row r="331" spans="1:10">
      <c r="A331" s="438"/>
      <c r="B331" s="441"/>
      <c r="C331" s="441"/>
      <c r="D331" s="441"/>
      <c r="E331" s="441"/>
      <c r="F331" s="441"/>
      <c r="G331" s="441"/>
      <c r="H331" s="441"/>
      <c r="I331" s="441"/>
      <c r="J331" s="441"/>
    </row>
    <row r="332" spans="1:10">
      <c r="A332" s="438"/>
      <c r="B332" s="441"/>
      <c r="C332" s="441"/>
      <c r="D332" s="441"/>
      <c r="E332" s="441"/>
      <c r="F332" s="441"/>
      <c r="G332" s="441"/>
      <c r="H332" s="441"/>
      <c r="I332" s="441"/>
      <c r="J332" s="441"/>
    </row>
    <row r="333" spans="1:10">
      <c r="A333" s="438"/>
      <c r="B333" s="441"/>
      <c r="C333" s="441"/>
      <c r="D333" s="441"/>
      <c r="E333" s="441"/>
      <c r="F333" s="441"/>
      <c r="G333" s="441"/>
      <c r="H333" s="441"/>
      <c r="I333" s="441"/>
      <c r="J333" s="441"/>
    </row>
    <row r="334" spans="1:10">
      <c r="A334" s="438"/>
      <c r="B334" s="441"/>
      <c r="C334" s="441"/>
      <c r="D334" s="441"/>
      <c r="E334" s="441"/>
      <c r="F334" s="441"/>
      <c r="G334" s="441"/>
      <c r="H334" s="441"/>
      <c r="I334" s="441"/>
      <c r="J334" s="441"/>
    </row>
    <row r="335" spans="1:10">
      <c r="A335" s="438"/>
      <c r="B335" s="441"/>
      <c r="C335" s="441"/>
      <c r="D335" s="441"/>
      <c r="E335" s="441"/>
      <c r="F335" s="441"/>
      <c r="G335" s="441"/>
      <c r="H335" s="441"/>
      <c r="I335" s="441"/>
      <c r="J335" s="441"/>
    </row>
    <row r="336" spans="1:10">
      <c r="A336" s="438"/>
      <c r="B336" s="441"/>
      <c r="C336" s="441"/>
      <c r="D336" s="441"/>
      <c r="E336" s="441"/>
      <c r="F336" s="441"/>
      <c r="G336" s="441"/>
      <c r="H336" s="441"/>
      <c r="I336" s="441"/>
      <c r="J336" s="441"/>
    </row>
    <row r="337" spans="1:10">
      <c r="A337" s="438"/>
      <c r="B337" s="441"/>
      <c r="C337" s="441"/>
      <c r="D337" s="441"/>
      <c r="E337" s="441"/>
      <c r="F337" s="441"/>
      <c r="G337" s="441"/>
      <c r="H337" s="441"/>
      <c r="I337" s="441"/>
      <c r="J337" s="441"/>
    </row>
    <row r="338" spans="1:10">
      <c r="A338" s="438"/>
      <c r="B338" s="441"/>
      <c r="C338" s="441"/>
      <c r="D338" s="441"/>
      <c r="E338" s="441"/>
      <c r="F338" s="441"/>
      <c r="G338" s="441"/>
      <c r="H338" s="441"/>
      <c r="I338" s="441"/>
      <c r="J338" s="441"/>
    </row>
    <row r="339" spans="1:10">
      <c r="A339" s="438"/>
      <c r="B339" s="441"/>
      <c r="C339" s="441"/>
      <c r="D339" s="441"/>
      <c r="E339" s="441"/>
      <c r="F339" s="441"/>
      <c r="G339" s="441"/>
      <c r="H339" s="441"/>
      <c r="I339" s="441"/>
      <c r="J339" s="441"/>
    </row>
    <row r="340" spans="1:10">
      <c r="A340" s="438"/>
      <c r="B340" s="441"/>
      <c r="C340" s="441"/>
      <c r="D340" s="441"/>
      <c r="E340" s="441"/>
      <c r="F340" s="441"/>
      <c r="G340" s="441"/>
      <c r="H340" s="441"/>
      <c r="I340" s="441"/>
      <c r="J340" s="441"/>
    </row>
    <row r="341" spans="1:10">
      <c r="A341" s="438"/>
      <c r="B341" s="441"/>
      <c r="C341" s="441"/>
      <c r="D341" s="441"/>
      <c r="E341" s="441"/>
      <c r="F341" s="441"/>
      <c r="G341" s="441"/>
      <c r="H341" s="441"/>
      <c r="I341" s="441"/>
      <c r="J341" s="441"/>
    </row>
    <row r="342" spans="1:10">
      <c r="A342" s="438"/>
      <c r="B342" s="441"/>
      <c r="C342" s="441"/>
      <c r="D342" s="441"/>
      <c r="E342" s="441"/>
      <c r="F342" s="441"/>
      <c r="G342" s="441"/>
      <c r="H342" s="441"/>
      <c r="I342" s="441"/>
      <c r="J342" s="441"/>
    </row>
    <row r="343" spans="1:10">
      <c r="A343" s="438"/>
      <c r="B343" s="441"/>
      <c r="C343" s="441"/>
      <c r="D343" s="441"/>
      <c r="E343" s="441"/>
      <c r="F343" s="441"/>
      <c r="G343" s="441"/>
      <c r="H343" s="441"/>
      <c r="I343" s="441"/>
      <c r="J343" s="441"/>
    </row>
    <row r="344" spans="1:10">
      <c r="A344" s="438"/>
      <c r="B344" s="441"/>
      <c r="C344" s="441"/>
      <c r="D344" s="441"/>
      <c r="E344" s="441"/>
      <c r="F344" s="441"/>
      <c r="G344" s="441"/>
      <c r="H344" s="441"/>
      <c r="I344" s="441"/>
      <c r="J344" s="441"/>
    </row>
    <row r="345" spans="1:10">
      <c r="A345" s="438"/>
      <c r="B345" s="441"/>
      <c r="C345" s="441"/>
      <c r="D345" s="441"/>
      <c r="E345" s="441"/>
      <c r="F345" s="441"/>
      <c r="G345" s="441"/>
      <c r="H345" s="441"/>
      <c r="I345" s="441"/>
      <c r="J345" s="441"/>
    </row>
    <row r="346" spans="1:10">
      <c r="A346" s="438"/>
      <c r="B346" s="441"/>
      <c r="C346" s="441"/>
      <c r="D346" s="441"/>
      <c r="E346" s="441"/>
      <c r="F346" s="441"/>
      <c r="G346" s="441"/>
      <c r="H346" s="441"/>
      <c r="I346" s="441"/>
      <c r="J346" s="441"/>
    </row>
    <row r="347" spans="1:10">
      <c r="A347" s="438"/>
      <c r="B347" s="441"/>
      <c r="C347" s="441"/>
      <c r="D347" s="441"/>
      <c r="E347" s="441"/>
      <c r="F347" s="441"/>
      <c r="G347" s="441"/>
      <c r="H347" s="441"/>
      <c r="I347" s="441"/>
      <c r="J347" s="441"/>
    </row>
    <row r="348" spans="1:10">
      <c r="A348" s="438"/>
      <c r="B348" s="441"/>
      <c r="C348" s="441"/>
      <c r="D348" s="441"/>
      <c r="E348" s="441"/>
      <c r="F348" s="441"/>
      <c r="G348" s="441"/>
      <c r="H348" s="441"/>
      <c r="I348" s="441"/>
      <c r="J348" s="441"/>
    </row>
    <row r="349" spans="1:10">
      <c r="A349" s="438"/>
      <c r="B349" s="441"/>
      <c r="C349" s="441"/>
      <c r="D349" s="441"/>
      <c r="E349" s="441"/>
      <c r="F349" s="441"/>
      <c r="G349" s="441"/>
      <c r="H349" s="441"/>
      <c r="I349" s="441"/>
      <c r="J349" s="441"/>
    </row>
    <row r="350" spans="1:10">
      <c r="A350" s="438"/>
      <c r="B350" s="441"/>
      <c r="C350" s="441"/>
      <c r="D350" s="441"/>
      <c r="E350" s="441"/>
      <c r="F350" s="441"/>
      <c r="G350" s="441"/>
      <c r="H350" s="441"/>
      <c r="I350" s="441"/>
      <c r="J350" s="441"/>
    </row>
    <row r="351" spans="1:10">
      <c r="A351" s="438"/>
      <c r="B351" s="441"/>
      <c r="C351" s="441"/>
      <c r="D351" s="441"/>
      <c r="E351" s="441"/>
      <c r="F351" s="441"/>
      <c r="G351" s="441"/>
      <c r="H351" s="441"/>
      <c r="I351" s="441"/>
      <c r="J351" s="441"/>
    </row>
    <row r="352" spans="1:10">
      <c r="A352" s="438"/>
      <c r="B352" s="441"/>
      <c r="C352" s="441"/>
      <c r="D352" s="441"/>
      <c r="E352" s="441"/>
      <c r="F352" s="441"/>
      <c r="G352" s="441"/>
      <c r="H352" s="441"/>
      <c r="I352" s="441"/>
      <c r="J352" s="441"/>
    </row>
    <row r="353" spans="1:10">
      <c r="A353" s="438"/>
      <c r="B353" s="441"/>
      <c r="C353" s="441"/>
      <c r="D353" s="441"/>
      <c r="E353" s="441"/>
      <c r="F353" s="441"/>
      <c r="G353" s="441"/>
      <c r="H353" s="441"/>
      <c r="I353" s="441"/>
      <c r="J353" s="441"/>
    </row>
    <row r="354" spans="1:10">
      <c r="A354" s="438"/>
      <c r="B354" s="441"/>
      <c r="C354" s="441"/>
      <c r="D354" s="441"/>
      <c r="E354" s="441"/>
      <c r="F354" s="441"/>
      <c r="G354" s="441"/>
      <c r="H354" s="441"/>
      <c r="I354" s="441"/>
      <c r="J354" s="441"/>
    </row>
    <row r="355" spans="1:10">
      <c r="A355" s="438"/>
      <c r="B355" s="441"/>
      <c r="C355" s="441"/>
      <c r="D355" s="441"/>
      <c r="E355" s="441"/>
      <c r="F355" s="441"/>
      <c r="G355" s="441"/>
      <c r="H355" s="441"/>
      <c r="I355" s="441"/>
      <c r="J355" s="441"/>
    </row>
    <row r="356" spans="1:10">
      <c r="A356" s="438"/>
      <c r="B356" s="441"/>
      <c r="C356" s="441"/>
      <c r="D356" s="441"/>
      <c r="E356" s="441"/>
      <c r="F356" s="441"/>
      <c r="G356" s="441"/>
      <c r="H356" s="441"/>
      <c r="I356" s="441"/>
      <c r="J356" s="441"/>
    </row>
    <row r="357" spans="1:10">
      <c r="A357" s="438"/>
      <c r="B357" s="441"/>
      <c r="C357" s="441"/>
      <c r="D357" s="441"/>
      <c r="E357" s="441"/>
      <c r="F357" s="441"/>
      <c r="G357" s="441"/>
      <c r="H357" s="441"/>
      <c r="I357" s="441"/>
      <c r="J357" s="441"/>
    </row>
    <row r="358" spans="1:10">
      <c r="A358" s="438"/>
      <c r="B358" s="441"/>
      <c r="C358" s="441"/>
      <c r="D358" s="441"/>
      <c r="E358" s="441"/>
      <c r="F358" s="441"/>
      <c r="G358" s="441"/>
      <c r="H358" s="441"/>
      <c r="I358" s="441"/>
      <c r="J358" s="441"/>
    </row>
    <row r="359" spans="1:10">
      <c r="A359" s="438"/>
      <c r="B359" s="441"/>
      <c r="C359" s="441"/>
      <c r="D359" s="441"/>
      <c r="E359" s="441"/>
      <c r="F359" s="441"/>
      <c r="G359" s="441"/>
      <c r="H359" s="441"/>
      <c r="I359" s="441"/>
      <c r="J359" s="441"/>
    </row>
    <row r="360" spans="1:10">
      <c r="A360" s="438"/>
      <c r="B360" s="441"/>
      <c r="C360" s="441"/>
      <c r="D360" s="441"/>
      <c r="E360" s="441"/>
      <c r="F360" s="441"/>
      <c r="G360" s="441"/>
      <c r="H360" s="441"/>
      <c r="I360" s="441"/>
      <c r="J360" s="441"/>
    </row>
    <row r="361" spans="1:10">
      <c r="A361" s="438"/>
      <c r="B361" s="441"/>
      <c r="C361" s="441"/>
      <c r="D361" s="441"/>
      <c r="E361" s="441"/>
      <c r="F361" s="441"/>
      <c r="G361" s="441"/>
      <c r="H361" s="441"/>
      <c r="I361" s="441"/>
      <c r="J361" s="441"/>
    </row>
    <row r="362" spans="1:10">
      <c r="A362" s="438"/>
      <c r="B362" s="441"/>
      <c r="C362" s="441"/>
      <c r="D362" s="441"/>
      <c r="E362" s="441"/>
      <c r="F362" s="441"/>
      <c r="G362" s="441"/>
      <c r="H362" s="441"/>
      <c r="I362" s="441"/>
      <c r="J362" s="441"/>
    </row>
    <row r="363" spans="1:10">
      <c r="A363" s="438"/>
      <c r="B363" s="441"/>
      <c r="C363" s="441"/>
      <c r="D363" s="441"/>
      <c r="E363" s="441"/>
      <c r="F363" s="441"/>
      <c r="G363" s="441"/>
      <c r="H363" s="441"/>
      <c r="I363" s="441"/>
      <c r="J363" s="441"/>
    </row>
    <row r="364" spans="1:10">
      <c r="A364" s="438"/>
      <c r="B364" s="441"/>
      <c r="C364" s="441"/>
      <c r="D364" s="441"/>
      <c r="E364" s="441"/>
      <c r="F364" s="441"/>
      <c r="G364" s="441"/>
      <c r="H364" s="441"/>
      <c r="I364" s="441"/>
      <c r="J364" s="441"/>
    </row>
    <row r="365" spans="1:10">
      <c r="A365" s="438"/>
      <c r="B365" s="441"/>
      <c r="C365" s="441"/>
      <c r="D365" s="441"/>
      <c r="E365" s="441"/>
      <c r="F365" s="441"/>
      <c r="G365" s="441"/>
      <c r="H365" s="441"/>
      <c r="I365" s="441"/>
      <c r="J365" s="441"/>
    </row>
    <row r="366" spans="1:10">
      <c r="A366" s="438"/>
      <c r="B366" s="441"/>
      <c r="C366" s="441"/>
      <c r="D366" s="441"/>
      <c r="E366" s="441"/>
      <c r="F366" s="441"/>
      <c r="G366" s="441"/>
      <c r="H366" s="441"/>
      <c r="I366" s="441"/>
      <c r="J366" s="441"/>
    </row>
    <row r="367" spans="1:10">
      <c r="A367" s="438"/>
      <c r="B367" s="441"/>
      <c r="C367" s="441"/>
      <c r="D367" s="441"/>
      <c r="E367" s="441"/>
      <c r="F367" s="441"/>
      <c r="G367" s="441"/>
      <c r="H367" s="441"/>
      <c r="I367" s="441"/>
      <c r="J367" s="441"/>
    </row>
    <row r="368" spans="1:10">
      <c r="A368" s="438"/>
      <c r="B368" s="441"/>
      <c r="C368" s="441"/>
      <c r="D368" s="441"/>
      <c r="E368" s="441"/>
      <c r="F368" s="441"/>
      <c r="G368" s="441"/>
      <c r="H368" s="441"/>
      <c r="I368" s="441"/>
      <c r="J368" s="441"/>
    </row>
    <row r="369" spans="1:10">
      <c r="A369" s="438"/>
      <c r="B369" s="441"/>
      <c r="C369" s="441"/>
      <c r="D369" s="441"/>
      <c r="E369" s="441"/>
      <c r="F369" s="441"/>
      <c r="G369" s="441"/>
      <c r="H369" s="441"/>
      <c r="I369" s="441"/>
      <c r="J369" s="441"/>
    </row>
    <row r="370" spans="1:10">
      <c r="A370" s="438"/>
      <c r="B370" s="441"/>
      <c r="C370" s="441"/>
      <c r="D370" s="441"/>
      <c r="E370" s="441"/>
      <c r="F370" s="441"/>
      <c r="G370" s="441"/>
      <c r="H370" s="441"/>
      <c r="I370" s="441"/>
      <c r="J370" s="441"/>
    </row>
    <row r="371" spans="1:10">
      <c r="A371" s="438"/>
      <c r="B371" s="441"/>
      <c r="C371" s="441"/>
      <c r="D371" s="441"/>
      <c r="E371" s="441"/>
      <c r="F371" s="441"/>
      <c r="G371" s="441"/>
      <c r="H371" s="441"/>
      <c r="I371" s="441"/>
      <c r="J371" s="441"/>
    </row>
    <row r="372" spans="1:10">
      <c r="A372" s="438"/>
      <c r="B372" s="441"/>
      <c r="C372" s="441"/>
      <c r="D372" s="441"/>
      <c r="E372" s="441"/>
      <c r="F372" s="441"/>
      <c r="G372" s="441"/>
      <c r="H372" s="441"/>
      <c r="I372" s="441"/>
      <c r="J372" s="441"/>
    </row>
    <row r="373" spans="1:10">
      <c r="A373" s="438"/>
      <c r="B373" s="441"/>
      <c r="C373" s="441"/>
      <c r="D373" s="441"/>
      <c r="E373" s="441"/>
      <c r="F373" s="441"/>
      <c r="G373" s="441"/>
      <c r="H373" s="441"/>
      <c r="I373" s="441"/>
      <c r="J373" s="441"/>
    </row>
    <row r="374" spans="1:10">
      <c r="A374" s="438"/>
      <c r="B374" s="441"/>
      <c r="C374" s="441"/>
      <c r="D374" s="441"/>
      <c r="E374" s="441"/>
      <c r="F374" s="441"/>
      <c r="G374" s="441"/>
      <c r="H374" s="441"/>
      <c r="I374" s="441"/>
      <c r="J374" s="441"/>
    </row>
    <row r="375" spans="1:10">
      <c r="A375" s="438"/>
      <c r="B375" s="441"/>
      <c r="C375" s="441"/>
      <c r="D375" s="441"/>
      <c r="E375" s="441"/>
      <c r="F375" s="441"/>
      <c r="G375" s="441"/>
      <c r="H375" s="441"/>
      <c r="I375" s="441"/>
      <c r="J375" s="441"/>
    </row>
    <row r="376" spans="1:10">
      <c r="A376" s="438"/>
      <c r="B376" s="441"/>
      <c r="C376" s="441"/>
      <c r="D376" s="441"/>
      <c r="E376" s="441"/>
      <c r="F376" s="441"/>
      <c r="G376" s="441"/>
      <c r="H376" s="441"/>
      <c r="I376" s="441"/>
      <c r="J376" s="441"/>
    </row>
    <row r="377" spans="1:10">
      <c r="A377" s="438"/>
      <c r="B377" s="441"/>
      <c r="C377" s="441"/>
      <c r="D377" s="441"/>
      <c r="E377" s="441"/>
      <c r="F377" s="441"/>
      <c r="G377" s="441"/>
      <c r="H377" s="441"/>
      <c r="I377" s="441"/>
      <c r="J377" s="441"/>
    </row>
    <row r="378" spans="1:10">
      <c r="A378" s="438"/>
      <c r="B378" s="441"/>
      <c r="C378" s="441"/>
      <c r="D378" s="441"/>
      <c r="E378" s="441"/>
      <c r="F378" s="441"/>
      <c r="G378" s="441"/>
      <c r="H378" s="441"/>
      <c r="I378" s="441"/>
      <c r="J378" s="441"/>
    </row>
    <row r="379" spans="1:10">
      <c r="A379" s="438"/>
      <c r="B379" s="441"/>
      <c r="C379" s="441"/>
      <c r="D379" s="441"/>
      <c r="E379" s="441"/>
      <c r="F379" s="441"/>
      <c r="G379" s="441"/>
      <c r="H379" s="441"/>
      <c r="I379" s="441"/>
      <c r="J379" s="441"/>
    </row>
    <row r="380" spans="1:10">
      <c r="A380" s="438"/>
      <c r="B380" s="441"/>
      <c r="C380" s="441"/>
      <c r="D380" s="441"/>
      <c r="E380" s="441"/>
      <c r="F380" s="441"/>
      <c r="G380" s="441"/>
      <c r="H380" s="441"/>
      <c r="I380" s="441"/>
      <c r="J380" s="441"/>
    </row>
    <row r="381" spans="1:10">
      <c r="A381" s="438"/>
      <c r="B381" s="441"/>
      <c r="C381" s="441"/>
      <c r="D381" s="441"/>
      <c r="E381" s="441"/>
      <c r="F381" s="441"/>
      <c r="G381" s="441"/>
      <c r="H381" s="441"/>
      <c r="I381" s="441"/>
      <c r="J381" s="441"/>
    </row>
    <row r="382" spans="1:10">
      <c r="A382" s="438"/>
      <c r="B382" s="441"/>
      <c r="C382" s="441"/>
      <c r="D382" s="441"/>
      <c r="E382" s="441"/>
      <c r="F382" s="441"/>
      <c r="G382" s="441"/>
      <c r="H382" s="441"/>
      <c r="I382" s="441"/>
      <c r="J382" s="441"/>
    </row>
    <row r="383" spans="1:10">
      <c r="A383" s="438"/>
      <c r="B383" s="441"/>
      <c r="C383" s="441"/>
      <c r="D383" s="441"/>
      <c r="E383" s="441"/>
      <c r="F383" s="441"/>
      <c r="G383" s="441"/>
      <c r="H383" s="441"/>
      <c r="I383" s="441"/>
      <c r="J383" s="441"/>
    </row>
    <row r="384" spans="1:10">
      <c r="A384" s="438"/>
      <c r="B384" s="441"/>
      <c r="C384" s="441"/>
      <c r="D384" s="441"/>
      <c r="E384" s="441"/>
      <c r="F384" s="441"/>
      <c r="G384" s="441"/>
      <c r="H384" s="441"/>
      <c r="I384" s="441"/>
      <c r="J384" s="441"/>
    </row>
    <row r="385" spans="1:10">
      <c r="A385" s="438"/>
      <c r="B385" s="441"/>
      <c r="C385" s="441"/>
      <c r="D385" s="441"/>
      <c r="E385" s="441"/>
      <c r="F385" s="441"/>
      <c r="G385" s="441"/>
      <c r="H385" s="441"/>
      <c r="I385" s="441"/>
      <c r="J385" s="441"/>
    </row>
    <row r="386" spans="1:10">
      <c r="A386" s="438"/>
      <c r="B386" s="441"/>
      <c r="C386" s="441"/>
      <c r="D386" s="441"/>
      <c r="E386" s="441"/>
      <c r="F386" s="441"/>
      <c r="G386" s="441"/>
      <c r="H386" s="441"/>
      <c r="I386" s="441"/>
      <c r="J386" s="441"/>
    </row>
    <row r="387" spans="1:10">
      <c r="A387" s="438"/>
      <c r="B387" s="441"/>
      <c r="C387" s="441"/>
      <c r="D387" s="441"/>
      <c r="E387" s="441"/>
      <c r="F387" s="441"/>
      <c r="G387" s="441"/>
      <c r="H387" s="441"/>
      <c r="I387" s="441"/>
      <c r="J387" s="441"/>
    </row>
    <row r="388" spans="1:10">
      <c r="A388" s="438"/>
      <c r="B388" s="441"/>
      <c r="C388" s="441"/>
      <c r="D388" s="441"/>
      <c r="E388" s="441"/>
      <c r="F388" s="441"/>
      <c r="G388" s="441"/>
      <c r="H388" s="441"/>
      <c r="I388" s="441"/>
      <c r="J388" s="441"/>
    </row>
    <row r="389" spans="1:10">
      <c r="A389" s="438"/>
      <c r="B389" s="441"/>
      <c r="C389" s="441"/>
      <c r="D389" s="441"/>
      <c r="E389" s="441"/>
      <c r="F389" s="441"/>
      <c r="G389" s="441"/>
      <c r="H389" s="441"/>
      <c r="I389" s="441"/>
      <c r="J389" s="441"/>
    </row>
    <row r="390" spans="1:10">
      <c r="A390" s="438"/>
      <c r="B390" s="441"/>
      <c r="C390" s="441"/>
      <c r="D390" s="441"/>
      <c r="E390" s="441"/>
      <c r="F390" s="441"/>
      <c r="G390" s="441"/>
      <c r="H390" s="441"/>
      <c r="I390" s="441"/>
      <c r="J390" s="441"/>
    </row>
    <row r="391" spans="1:10">
      <c r="A391" s="438"/>
      <c r="B391" s="441"/>
      <c r="C391" s="441"/>
      <c r="D391" s="441"/>
      <c r="E391" s="441"/>
      <c r="F391" s="441"/>
      <c r="G391" s="441"/>
      <c r="H391" s="441"/>
      <c r="I391" s="441"/>
      <c r="J391" s="441"/>
    </row>
    <row r="392" spans="1:10">
      <c r="A392" s="438"/>
      <c r="B392" s="441"/>
      <c r="C392" s="441"/>
      <c r="D392" s="441"/>
      <c r="E392" s="441"/>
      <c r="F392" s="441"/>
      <c r="G392" s="441"/>
      <c r="H392" s="441"/>
      <c r="I392" s="441"/>
      <c r="J392" s="441"/>
    </row>
    <row r="393" spans="1:10">
      <c r="A393" s="438"/>
      <c r="B393" s="441"/>
      <c r="C393" s="441"/>
      <c r="D393" s="441"/>
      <c r="E393" s="441"/>
      <c r="F393" s="441"/>
      <c r="G393" s="441"/>
      <c r="H393" s="441"/>
      <c r="I393" s="441"/>
      <c r="J393" s="441"/>
    </row>
    <row r="394" spans="1:10">
      <c r="A394" s="438"/>
      <c r="B394" s="441"/>
      <c r="C394" s="441"/>
      <c r="D394" s="441"/>
      <c r="E394" s="441"/>
      <c r="F394" s="441"/>
      <c r="G394" s="441"/>
      <c r="H394" s="441"/>
      <c r="I394" s="441"/>
      <c r="J394" s="441"/>
    </row>
    <row r="395" spans="1:10">
      <c r="A395" s="438"/>
      <c r="B395" s="441"/>
      <c r="C395" s="441"/>
      <c r="D395" s="441"/>
      <c r="E395" s="441"/>
      <c r="F395" s="441"/>
      <c r="G395" s="441"/>
      <c r="H395" s="441"/>
      <c r="I395" s="441"/>
      <c r="J395" s="441"/>
    </row>
    <row r="396" spans="1:10">
      <c r="A396" s="438"/>
      <c r="B396" s="441"/>
      <c r="C396" s="441"/>
      <c r="D396" s="441"/>
      <c r="E396" s="441"/>
      <c r="F396" s="441"/>
      <c r="G396" s="441"/>
      <c r="H396" s="441"/>
      <c r="I396" s="441"/>
      <c r="J396" s="441"/>
    </row>
    <row r="397" spans="1:10">
      <c r="A397" s="438"/>
      <c r="B397" s="441"/>
      <c r="C397" s="441"/>
      <c r="D397" s="441"/>
      <c r="E397" s="441"/>
      <c r="F397" s="441"/>
      <c r="G397" s="441"/>
      <c r="H397" s="441"/>
      <c r="I397" s="441"/>
      <c r="J397" s="441"/>
    </row>
    <row r="398" spans="1:10">
      <c r="A398" s="438"/>
      <c r="B398" s="441"/>
      <c r="C398" s="441"/>
      <c r="D398" s="441"/>
      <c r="E398" s="441"/>
      <c r="F398" s="441"/>
      <c r="G398" s="441"/>
      <c r="H398" s="441"/>
      <c r="I398" s="441"/>
      <c r="J398" s="441"/>
    </row>
    <row r="399" spans="1:10">
      <c r="A399" s="438"/>
      <c r="B399" s="441"/>
      <c r="C399" s="441"/>
      <c r="D399" s="441"/>
      <c r="E399" s="441"/>
      <c r="F399" s="441"/>
      <c r="G399" s="441"/>
      <c r="H399" s="441"/>
      <c r="I399" s="441"/>
      <c r="J399" s="441"/>
    </row>
    <row r="400" spans="1:10">
      <c r="A400" s="438"/>
      <c r="B400" s="441"/>
      <c r="C400" s="441"/>
      <c r="D400" s="441"/>
      <c r="E400" s="441"/>
      <c r="F400" s="441"/>
      <c r="G400" s="441"/>
      <c r="H400" s="441"/>
      <c r="I400" s="441"/>
      <c r="J400" s="441"/>
    </row>
    <row r="401" spans="1:10">
      <c r="A401" s="438"/>
      <c r="B401" s="441"/>
      <c r="C401" s="441"/>
      <c r="D401" s="441"/>
      <c r="E401" s="441"/>
      <c r="F401" s="441"/>
      <c r="G401" s="441"/>
      <c r="H401" s="441"/>
      <c r="I401" s="441"/>
      <c r="J401" s="441"/>
    </row>
    <row r="402" spans="1:10">
      <c r="A402" s="438"/>
      <c r="B402" s="441"/>
      <c r="C402" s="441"/>
      <c r="D402" s="441"/>
      <c r="E402" s="441"/>
      <c r="F402" s="441"/>
      <c r="G402" s="441"/>
      <c r="H402" s="441"/>
      <c r="I402" s="441"/>
      <c r="J402" s="441"/>
    </row>
    <row r="403" spans="1:10">
      <c r="A403" s="438"/>
      <c r="B403" s="441"/>
      <c r="C403" s="441"/>
      <c r="D403" s="441"/>
      <c r="E403" s="441"/>
      <c r="F403" s="441"/>
      <c r="G403" s="441"/>
      <c r="H403" s="441"/>
      <c r="I403" s="441"/>
      <c r="J403" s="441"/>
    </row>
    <row r="404" spans="1:10">
      <c r="A404" s="438"/>
      <c r="B404" s="441"/>
      <c r="C404" s="441"/>
      <c r="D404" s="441"/>
      <c r="E404" s="441"/>
      <c r="F404" s="441"/>
      <c r="G404" s="441"/>
      <c r="H404" s="441"/>
      <c r="I404" s="441"/>
      <c r="J404" s="441"/>
    </row>
    <row r="405" spans="1:10">
      <c r="A405" s="438"/>
      <c r="B405" s="441"/>
      <c r="C405" s="441"/>
      <c r="D405" s="441"/>
      <c r="E405" s="441"/>
      <c r="F405" s="441"/>
      <c r="G405" s="441"/>
      <c r="H405" s="441"/>
      <c r="I405" s="441"/>
      <c r="J405" s="441"/>
    </row>
    <row r="406" spans="1:10">
      <c r="A406" s="438"/>
      <c r="B406" s="441"/>
      <c r="C406" s="441"/>
      <c r="D406" s="441"/>
      <c r="E406" s="441"/>
      <c r="F406" s="441"/>
      <c r="G406" s="441"/>
      <c r="H406" s="441"/>
      <c r="I406" s="441"/>
      <c r="J406" s="441"/>
    </row>
    <row r="407" spans="1:10">
      <c r="A407" s="438"/>
      <c r="B407" s="441"/>
      <c r="C407" s="441"/>
      <c r="D407" s="441"/>
      <c r="E407" s="441"/>
      <c r="F407" s="441"/>
      <c r="G407" s="441"/>
      <c r="H407" s="441"/>
      <c r="I407" s="441"/>
      <c r="J407" s="441"/>
    </row>
    <row r="408" spans="1:10">
      <c r="A408" s="438"/>
      <c r="B408" s="441"/>
      <c r="C408" s="441"/>
      <c r="D408" s="441"/>
      <c r="E408" s="441"/>
      <c r="F408" s="441"/>
      <c r="G408" s="441"/>
      <c r="H408" s="441"/>
      <c r="I408" s="441"/>
      <c r="J408" s="441"/>
    </row>
    <row r="409" spans="1:10">
      <c r="A409" s="438"/>
      <c r="B409" s="441"/>
      <c r="C409" s="441"/>
      <c r="D409" s="441"/>
      <c r="E409" s="441"/>
      <c r="F409" s="441"/>
      <c r="G409" s="441"/>
      <c r="H409" s="441"/>
      <c r="I409" s="441"/>
      <c r="J409" s="441"/>
    </row>
    <row r="410" spans="1:10">
      <c r="A410" s="438"/>
      <c r="B410" s="441"/>
      <c r="C410" s="441"/>
      <c r="D410" s="441"/>
      <c r="E410" s="441"/>
      <c r="F410" s="441"/>
      <c r="G410" s="441"/>
      <c r="H410" s="441"/>
      <c r="I410" s="441"/>
      <c r="J410" s="441"/>
    </row>
    <row r="411" spans="1:10">
      <c r="A411" s="438"/>
      <c r="B411" s="441"/>
      <c r="C411" s="441"/>
      <c r="D411" s="441"/>
      <c r="E411" s="441"/>
      <c r="F411" s="441"/>
      <c r="G411" s="441"/>
      <c r="H411" s="441"/>
      <c r="I411" s="441"/>
      <c r="J411" s="441"/>
    </row>
    <row r="412" spans="1:10">
      <c r="A412" s="438"/>
      <c r="B412" s="441"/>
      <c r="C412" s="441"/>
      <c r="D412" s="441"/>
      <c r="E412" s="441"/>
      <c r="F412" s="441"/>
      <c r="G412" s="441"/>
      <c r="H412" s="441"/>
      <c r="I412" s="441"/>
      <c r="J412" s="441"/>
    </row>
    <row r="413" spans="1:10">
      <c r="A413" s="438"/>
      <c r="B413" s="441"/>
      <c r="C413" s="441"/>
      <c r="D413" s="441"/>
      <c r="E413" s="441"/>
      <c r="F413" s="441"/>
      <c r="G413" s="441"/>
      <c r="H413" s="441"/>
      <c r="I413" s="441"/>
      <c r="J413" s="441"/>
    </row>
    <row r="414" spans="1:10">
      <c r="A414" s="438"/>
      <c r="B414" s="441"/>
      <c r="C414" s="441"/>
      <c r="D414" s="441"/>
      <c r="E414" s="441"/>
      <c r="F414" s="441"/>
      <c r="G414" s="441"/>
      <c r="H414" s="441"/>
      <c r="I414" s="441"/>
      <c r="J414" s="441"/>
    </row>
    <row r="415" spans="1:10">
      <c r="A415" s="438"/>
      <c r="B415" s="441"/>
      <c r="C415" s="441"/>
      <c r="D415" s="441"/>
      <c r="E415" s="441"/>
      <c r="F415" s="441"/>
      <c r="G415" s="441"/>
      <c r="H415" s="441"/>
      <c r="I415" s="441"/>
      <c r="J415" s="441"/>
    </row>
    <row r="416" spans="1:10">
      <c r="A416" s="438"/>
      <c r="B416" s="441"/>
      <c r="C416" s="441"/>
      <c r="D416" s="441"/>
      <c r="E416" s="441"/>
      <c r="F416" s="441"/>
      <c r="G416" s="441"/>
      <c r="H416" s="441"/>
      <c r="I416" s="441"/>
      <c r="J416" s="441"/>
    </row>
    <row r="417" spans="1:10">
      <c r="A417" s="438"/>
      <c r="B417" s="441"/>
      <c r="C417" s="441"/>
      <c r="D417" s="441"/>
      <c r="E417" s="441"/>
      <c r="F417" s="441"/>
      <c r="G417" s="441"/>
      <c r="H417" s="441"/>
      <c r="I417" s="441"/>
      <c r="J417" s="441"/>
    </row>
    <row r="418" spans="1:10">
      <c r="A418" s="438"/>
      <c r="B418" s="441"/>
      <c r="C418" s="441"/>
      <c r="D418" s="441"/>
      <c r="E418" s="441"/>
      <c r="F418" s="441"/>
      <c r="G418" s="441"/>
      <c r="H418" s="441"/>
      <c r="I418" s="441"/>
      <c r="J418" s="441"/>
    </row>
    <row r="419" spans="1:10">
      <c r="A419" s="438"/>
      <c r="B419" s="441"/>
      <c r="C419" s="441"/>
      <c r="D419" s="441"/>
      <c r="E419" s="441"/>
      <c r="F419" s="441"/>
      <c r="G419" s="441"/>
      <c r="H419" s="441"/>
      <c r="I419" s="441"/>
      <c r="J419" s="441"/>
    </row>
    <row r="420" spans="1:10">
      <c r="A420" s="438"/>
      <c r="B420" s="441"/>
      <c r="C420" s="441"/>
      <c r="D420" s="441"/>
      <c r="E420" s="441"/>
      <c r="F420" s="441"/>
      <c r="G420" s="441"/>
      <c r="H420" s="441"/>
      <c r="I420" s="441"/>
      <c r="J420" s="441"/>
    </row>
    <row r="421" spans="1:10">
      <c r="A421" s="438"/>
      <c r="B421" s="441"/>
      <c r="C421" s="441"/>
      <c r="D421" s="441"/>
      <c r="E421" s="441"/>
      <c r="F421" s="441"/>
      <c r="G421" s="441"/>
      <c r="H421" s="441"/>
      <c r="I421" s="441"/>
      <c r="J421" s="441"/>
    </row>
    <row r="422" spans="1:10">
      <c r="A422" s="438"/>
      <c r="B422" s="441"/>
      <c r="C422" s="441"/>
      <c r="D422" s="441"/>
      <c r="E422" s="441"/>
      <c r="F422" s="441"/>
      <c r="G422" s="441"/>
      <c r="H422" s="441"/>
      <c r="I422" s="441"/>
      <c r="J422" s="441"/>
    </row>
    <row r="423" spans="1:10">
      <c r="A423" s="438"/>
      <c r="B423" s="441"/>
      <c r="C423" s="441"/>
      <c r="D423" s="441"/>
      <c r="E423" s="441"/>
      <c r="F423" s="441"/>
      <c r="G423" s="441"/>
      <c r="H423" s="441"/>
      <c r="I423" s="441"/>
      <c r="J423" s="441"/>
    </row>
    <row r="424" spans="1:10">
      <c r="A424" s="438"/>
      <c r="B424" s="441"/>
      <c r="C424" s="441"/>
      <c r="D424" s="441"/>
      <c r="E424" s="441"/>
      <c r="F424" s="441"/>
      <c r="G424" s="441"/>
      <c r="H424" s="441"/>
      <c r="I424" s="441"/>
      <c r="J424" s="441"/>
    </row>
    <row r="425" spans="1:10">
      <c r="A425" s="438"/>
      <c r="B425" s="441"/>
      <c r="C425" s="441"/>
      <c r="D425" s="441"/>
      <c r="E425" s="441"/>
      <c r="F425" s="441"/>
      <c r="G425" s="441"/>
      <c r="H425" s="441"/>
      <c r="I425" s="441"/>
      <c r="J425" s="441"/>
    </row>
    <row r="426" spans="1:10">
      <c r="A426" s="438"/>
      <c r="B426" s="441"/>
      <c r="C426" s="441"/>
      <c r="D426" s="441"/>
      <c r="E426" s="441"/>
      <c r="F426" s="441"/>
      <c r="G426" s="441"/>
      <c r="H426" s="441"/>
      <c r="I426" s="441"/>
      <c r="J426" s="441"/>
    </row>
    <row r="427" spans="1:10">
      <c r="A427" s="438"/>
      <c r="B427" s="441"/>
      <c r="C427" s="441"/>
      <c r="D427" s="441"/>
      <c r="E427" s="441"/>
      <c r="F427" s="441"/>
      <c r="G427" s="441"/>
      <c r="H427" s="441"/>
      <c r="I427" s="441"/>
      <c r="J427" s="441"/>
    </row>
    <row r="428" spans="1:10">
      <c r="A428" s="438"/>
      <c r="B428" s="441"/>
      <c r="C428" s="441"/>
      <c r="D428" s="441"/>
      <c r="E428" s="441"/>
      <c r="F428" s="441"/>
      <c r="G428" s="441"/>
      <c r="H428" s="441"/>
      <c r="I428" s="441"/>
      <c r="J428" s="441"/>
    </row>
    <row r="429" spans="1:10">
      <c r="A429" s="438"/>
      <c r="B429" s="441"/>
      <c r="C429" s="441"/>
      <c r="D429" s="441"/>
      <c r="E429" s="441"/>
      <c r="F429" s="441"/>
      <c r="G429" s="441"/>
      <c r="H429" s="441"/>
      <c r="I429" s="441"/>
      <c r="J429" s="441"/>
    </row>
    <row r="430" spans="1:10">
      <c r="A430" s="438"/>
      <c r="B430" s="441"/>
      <c r="C430" s="441"/>
      <c r="D430" s="441"/>
      <c r="E430" s="441"/>
      <c r="F430" s="441"/>
      <c r="G430" s="441"/>
      <c r="H430" s="441"/>
      <c r="I430" s="441"/>
      <c r="J430" s="441"/>
    </row>
    <row r="431" spans="1:10">
      <c r="A431" s="438"/>
      <c r="B431" s="441"/>
      <c r="C431" s="441"/>
      <c r="D431" s="441"/>
      <c r="E431" s="441"/>
      <c r="F431" s="441"/>
      <c r="G431" s="441"/>
      <c r="H431" s="441"/>
      <c r="I431" s="441"/>
      <c r="J431" s="441"/>
    </row>
    <row r="432" spans="1:10">
      <c r="A432" s="438"/>
      <c r="B432" s="441"/>
      <c r="C432" s="441"/>
      <c r="D432" s="441"/>
      <c r="E432" s="441"/>
      <c r="F432" s="441"/>
      <c r="G432" s="441"/>
      <c r="H432" s="441"/>
      <c r="I432" s="441"/>
      <c r="J432" s="441"/>
    </row>
    <row r="433" spans="1:10">
      <c r="A433" s="438"/>
      <c r="B433" s="441"/>
      <c r="C433" s="441"/>
      <c r="D433" s="441"/>
      <c r="E433" s="441"/>
      <c r="F433" s="441"/>
      <c r="G433" s="441"/>
      <c r="H433" s="441"/>
      <c r="I433" s="441"/>
      <c r="J433" s="441"/>
    </row>
    <row r="434" spans="1:10">
      <c r="A434" s="438"/>
      <c r="B434" s="441"/>
      <c r="C434" s="441"/>
      <c r="D434" s="441"/>
      <c r="E434" s="441"/>
      <c r="F434" s="441"/>
      <c r="G434" s="441"/>
      <c r="H434" s="441"/>
      <c r="I434" s="441"/>
      <c r="J434" s="441"/>
    </row>
    <row r="435" spans="1:10">
      <c r="A435" s="438"/>
      <c r="B435" s="441"/>
      <c r="C435" s="441"/>
      <c r="D435" s="441"/>
      <c r="E435" s="441"/>
      <c r="F435" s="441"/>
      <c r="G435" s="441"/>
      <c r="H435" s="441"/>
      <c r="I435" s="441"/>
      <c r="J435" s="441"/>
    </row>
    <row r="436" spans="1:10">
      <c r="A436" s="438"/>
      <c r="B436" s="441"/>
      <c r="C436" s="441"/>
      <c r="D436" s="441"/>
      <c r="E436" s="441"/>
      <c r="F436" s="441"/>
      <c r="G436" s="441"/>
      <c r="H436" s="441"/>
      <c r="I436" s="441"/>
      <c r="J436" s="441"/>
    </row>
    <row r="437" spans="1:10">
      <c r="A437" s="438"/>
      <c r="B437" s="441"/>
      <c r="C437" s="441"/>
      <c r="D437" s="441"/>
      <c r="E437" s="441"/>
      <c r="F437" s="441"/>
      <c r="G437" s="441"/>
      <c r="H437" s="441"/>
      <c r="I437" s="441"/>
      <c r="J437" s="441"/>
    </row>
    <row r="438" spans="1:10">
      <c r="A438" s="438"/>
      <c r="B438" s="441"/>
      <c r="C438" s="441"/>
      <c r="D438" s="441"/>
      <c r="E438" s="441"/>
      <c r="F438" s="441"/>
      <c r="G438" s="441"/>
      <c r="H438" s="441"/>
      <c r="I438" s="441"/>
      <c r="J438" s="441"/>
    </row>
    <row r="439" spans="1:10">
      <c r="A439" s="438"/>
      <c r="B439" s="441"/>
      <c r="C439" s="441"/>
      <c r="D439" s="441"/>
      <c r="E439" s="441"/>
      <c r="F439" s="441"/>
      <c r="G439" s="441"/>
      <c r="H439" s="441"/>
      <c r="I439" s="441"/>
      <c r="J439" s="441"/>
    </row>
    <row r="440" spans="1:10">
      <c r="A440" s="438"/>
      <c r="B440" s="441"/>
      <c r="C440" s="441"/>
      <c r="D440" s="441"/>
      <c r="E440" s="441"/>
      <c r="F440" s="441"/>
      <c r="G440" s="441"/>
      <c r="H440" s="441"/>
      <c r="I440" s="441"/>
      <c r="J440" s="441"/>
    </row>
    <row r="441" spans="1:10">
      <c r="A441" s="438"/>
      <c r="B441" s="441"/>
      <c r="C441" s="441"/>
      <c r="D441" s="441"/>
      <c r="E441" s="441"/>
      <c r="F441" s="441"/>
      <c r="G441" s="441"/>
      <c r="H441" s="441"/>
      <c r="I441" s="441"/>
      <c r="J441" s="441"/>
    </row>
    <row r="442" spans="1:10">
      <c r="A442" s="438"/>
      <c r="B442" s="441"/>
      <c r="C442" s="441"/>
      <c r="D442" s="441"/>
      <c r="E442" s="441"/>
      <c r="F442" s="441"/>
      <c r="G442" s="441"/>
      <c r="H442" s="441"/>
      <c r="I442" s="441"/>
      <c r="J442" s="441"/>
    </row>
    <row r="443" spans="1:10">
      <c r="A443" s="438"/>
      <c r="B443" s="441"/>
      <c r="C443" s="441"/>
      <c r="D443" s="441"/>
      <c r="E443" s="441"/>
      <c r="F443" s="441"/>
      <c r="G443" s="441"/>
      <c r="H443" s="441"/>
      <c r="I443" s="441"/>
      <c r="J443" s="441"/>
    </row>
    <row r="444" spans="1:10">
      <c r="A444" s="438"/>
      <c r="B444" s="441"/>
      <c r="C444" s="441"/>
      <c r="D444" s="441"/>
      <c r="E444" s="441"/>
      <c r="F444" s="441"/>
      <c r="G444" s="441"/>
      <c r="H444" s="441"/>
      <c r="I444" s="441"/>
      <c r="J444" s="441"/>
    </row>
    <row r="445" spans="1:10">
      <c r="A445" s="438"/>
      <c r="B445" s="441"/>
      <c r="C445" s="441"/>
      <c r="D445" s="441"/>
      <c r="E445" s="441"/>
      <c r="F445" s="441"/>
      <c r="G445" s="441"/>
      <c r="H445" s="441"/>
      <c r="I445" s="441"/>
      <c r="J445" s="441"/>
    </row>
    <row r="446" spans="1:10">
      <c r="A446" s="438"/>
      <c r="B446" s="441"/>
      <c r="C446" s="441"/>
      <c r="D446" s="441"/>
      <c r="E446" s="441"/>
      <c r="F446" s="441"/>
      <c r="G446" s="441"/>
      <c r="H446" s="441"/>
      <c r="I446" s="441"/>
      <c r="J446" s="441"/>
    </row>
    <row r="447" spans="1:10">
      <c r="A447" s="438"/>
      <c r="B447" s="441"/>
      <c r="C447" s="441"/>
      <c r="D447" s="441"/>
      <c r="E447" s="441"/>
      <c r="F447" s="441"/>
      <c r="G447" s="441"/>
      <c r="H447" s="441"/>
      <c r="I447" s="441"/>
      <c r="J447" s="441"/>
    </row>
    <row r="448" spans="1:10">
      <c r="A448" s="438"/>
      <c r="B448" s="441"/>
      <c r="C448" s="441"/>
      <c r="D448" s="441"/>
      <c r="E448" s="441"/>
      <c r="F448" s="441"/>
      <c r="G448" s="441"/>
      <c r="H448" s="441"/>
      <c r="I448" s="441"/>
      <c r="J448" s="441"/>
    </row>
    <row r="449" spans="1:10">
      <c r="A449" s="438"/>
      <c r="B449" s="441"/>
      <c r="C449" s="441"/>
      <c r="D449" s="441"/>
      <c r="E449" s="441"/>
      <c r="F449" s="441"/>
      <c r="G449" s="441"/>
      <c r="H449" s="441"/>
      <c r="I449" s="441"/>
      <c r="J449" s="441"/>
    </row>
    <row r="450" spans="1:10">
      <c r="A450" s="438"/>
      <c r="B450" s="441"/>
      <c r="C450" s="441"/>
      <c r="D450" s="441"/>
      <c r="E450" s="441"/>
      <c r="F450" s="441"/>
      <c r="G450" s="441"/>
      <c r="H450" s="441"/>
      <c r="I450" s="441"/>
      <c r="J450" s="441"/>
    </row>
    <row r="451" spans="1:10">
      <c r="A451" s="438"/>
      <c r="B451" s="441"/>
      <c r="C451" s="441"/>
      <c r="D451" s="441"/>
      <c r="E451" s="441"/>
      <c r="F451" s="441"/>
      <c r="G451" s="441"/>
      <c r="H451" s="441"/>
      <c r="I451" s="441"/>
      <c r="J451" s="441"/>
    </row>
    <row r="452" spans="1:10">
      <c r="A452" s="438"/>
      <c r="B452" s="441"/>
      <c r="C452" s="441"/>
      <c r="D452" s="441"/>
      <c r="E452" s="441"/>
      <c r="F452" s="441"/>
      <c r="G452" s="441"/>
      <c r="H452" s="441"/>
      <c r="I452" s="441"/>
      <c r="J452" s="441"/>
    </row>
    <row r="453" spans="1:10">
      <c r="A453" s="438"/>
      <c r="B453" s="441"/>
      <c r="C453" s="441"/>
      <c r="D453" s="441"/>
      <c r="E453" s="441"/>
      <c r="F453" s="441"/>
      <c r="G453" s="441"/>
      <c r="H453" s="441"/>
      <c r="I453" s="441"/>
      <c r="J453" s="441"/>
    </row>
    <row r="454" spans="1:10">
      <c r="A454" s="438"/>
      <c r="B454" s="441"/>
      <c r="C454" s="441"/>
      <c r="D454" s="441"/>
      <c r="E454" s="441"/>
      <c r="F454" s="441"/>
      <c r="G454" s="441"/>
      <c r="H454" s="441"/>
      <c r="I454" s="441"/>
      <c r="J454" s="441"/>
    </row>
    <row r="455" spans="1:10">
      <c r="A455" s="438"/>
      <c r="B455" s="441"/>
      <c r="C455" s="441"/>
      <c r="D455" s="441"/>
      <c r="E455" s="441"/>
      <c r="F455" s="441"/>
      <c r="G455" s="441"/>
      <c r="H455" s="441"/>
      <c r="I455" s="441"/>
      <c r="J455" s="441"/>
    </row>
    <row r="456" spans="1:10">
      <c r="A456" s="438"/>
      <c r="B456" s="441"/>
      <c r="C456" s="441"/>
      <c r="D456" s="441"/>
      <c r="E456" s="441"/>
      <c r="F456" s="441"/>
      <c r="G456" s="441"/>
      <c r="H456" s="441"/>
      <c r="I456" s="441"/>
      <c r="J456" s="441"/>
    </row>
    <row r="457" spans="1:10">
      <c r="A457" s="438"/>
      <c r="B457" s="441"/>
      <c r="C457" s="441"/>
      <c r="D457" s="441"/>
      <c r="E457" s="441"/>
      <c r="F457" s="441"/>
      <c r="G457" s="441"/>
      <c r="H457" s="441"/>
      <c r="I457" s="441"/>
      <c r="J457" s="441"/>
    </row>
    <row r="458" spans="1:10">
      <c r="A458" s="438"/>
      <c r="B458" s="441"/>
      <c r="C458" s="441"/>
      <c r="D458" s="441"/>
      <c r="E458" s="441"/>
      <c r="F458" s="441"/>
      <c r="G458" s="441"/>
      <c r="H458" s="441"/>
      <c r="I458" s="441"/>
      <c r="J458" s="441"/>
    </row>
    <row r="459" spans="1:10">
      <c r="A459" s="438"/>
      <c r="B459" s="441"/>
      <c r="C459" s="441"/>
      <c r="D459" s="441"/>
      <c r="E459" s="441"/>
      <c r="F459" s="441"/>
      <c r="G459" s="441"/>
      <c r="H459" s="441"/>
      <c r="I459" s="441"/>
      <c r="J459" s="441"/>
    </row>
    <row r="460" spans="1:10">
      <c r="A460" s="438"/>
      <c r="B460" s="441"/>
      <c r="C460" s="441"/>
      <c r="D460" s="441"/>
      <c r="E460" s="441"/>
      <c r="F460" s="441"/>
      <c r="G460" s="441"/>
      <c r="H460" s="441"/>
      <c r="I460" s="441"/>
      <c r="J460" s="441"/>
    </row>
    <row r="461" spans="1:10">
      <c r="A461" s="438"/>
      <c r="B461" s="441"/>
      <c r="C461" s="441"/>
      <c r="D461" s="441"/>
      <c r="E461" s="441"/>
      <c r="F461" s="441"/>
      <c r="G461" s="441"/>
      <c r="H461" s="441"/>
      <c r="I461" s="441"/>
      <c r="J461" s="441"/>
    </row>
    <row r="462" spans="1:10">
      <c r="A462" s="438"/>
      <c r="B462" s="441"/>
      <c r="C462" s="441"/>
      <c r="D462" s="441"/>
      <c r="E462" s="441"/>
      <c r="F462" s="441"/>
      <c r="G462" s="441"/>
      <c r="H462" s="441"/>
      <c r="I462" s="441"/>
      <c r="J462" s="441"/>
    </row>
    <row r="463" spans="1:10">
      <c r="A463" s="438"/>
      <c r="B463" s="441"/>
      <c r="C463" s="441"/>
      <c r="D463" s="441"/>
      <c r="E463" s="441"/>
      <c r="F463" s="441"/>
      <c r="G463" s="441"/>
      <c r="H463" s="441"/>
      <c r="I463" s="441"/>
      <c r="J463" s="441"/>
    </row>
    <row r="464" spans="1:10">
      <c r="A464" s="438"/>
      <c r="B464" s="441"/>
      <c r="C464" s="441"/>
      <c r="D464" s="441"/>
      <c r="E464" s="441"/>
      <c r="F464" s="441"/>
      <c r="G464" s="441"/>
      <c r="H464" s="441"/>
      <c r="I464" s="441"/>
      <c r="J464" s="441"/>
    </row>
    <row r="465" spans="1:10">
      <c r="A465" s="438"/>
      <c r="B465" s="441"/>
      <c r="C465" s="441"/>
      <c r="D465" s="441"/>
      <c r="E465" s="441"/>
      <c r="F465" s="441"/>
      <c r="G465" s="441"/>
      <c r="H465" s="441"/>
      <c r="I465" s="441"/>
      <c r="J465" s="441"/>
    </row>
    <row r="466" spans="1:10">
      <c r="A466" s="438"/>
      <c r="B466" s="441"/>
      <c r="C466" s="441"/>
      <c r="D466" s="441"/>
      <c r="E466" s="441"/>
      <c r="F466" s="441"/>
      <c r="G466" s="441"/>
      <c r="H466" s="441"/>
      <c r="I466" s="441"/>
      <c r="J466" s="441"/>
    </row>
    <row r="467" spans="1:10">
      <c r="A467" s="438"/>
      <c r="B467" s="441"/>
      <c r="C467" s="441"/>
      <c r="D467" s="441"/>
      <c r="E467" s="441"/>
      <c r="F467" s="441"/>
      <c r="G467" s="441"/>
      <c r="H467" s="441"/>
      <c r="I467" s="441"/>
      <c r="J467" s="441"/>
    </row>
    <row r="468" spans="1:10">
      <c r="A468" s="438"/>
      <c r="B468" s="441"/>
      <c r="C468" s="441"/>
      <c r="D468" s="441"/>
      <c r="E468" s="441"/>
      <c r="F468" s="441"/>
      <c r="G468" s="441"/>
      <c r="H468" s="441"/>
      <c r="I468" s="441"/>
      <c r="J468" s="441"/>
    </row>
    <row r="469" spans="1:10">
      <c r="A469" s="438"/>
      <c r="B469" s="441"/>
      <c r="C469" s="441"/>
      <c r="D469" s="441"/>
      <c r="E469" s="441"/>
      <c r="F469" s="441"/>
      <c r="G469" s="441"/>
      <c r="H469" s="441"/>
      <c r="I469" s="441"/>
      <c r="J469" s="441"/>
    </row>
    <row r="470" spans="1:10">
      <c r="A470" s="438"/>
      <c r="B470" s="441"/>
      <c r="C470" s="441"/>
      <c r="D470" s="441"/>
      <c r="E470" s="441"/>
      <c r="F470" s="441"/>
      <c r="G470" s="441"/>
      <c r="H470" s="441"/>
      <c r="I470" s="441"/>
      <c r="J470" s="441"/>
    </row>
    <row r="471" spans="1:10">
      <c r="A471" s="438"/>
      <c r="B471" s="441"/>
      <c r="C471" s="441"/>
      <c r="D471" s="441"/>
      <c r="E471" s="441"/>
      <c r="F471" s="441"/>
      <c r="G471" s="441"/>
      <c r="H471" s="441"/>
      <c r="I471" s="441"/>
      <c r="J471" s="441"/>
    </row>
    <row r="472" spans="1:10">
      <c r="A472" s="438"/>
      <c r="B472" s="441"/>
      <c r="C472" s="441"/>
      <c r="D472" s="441"/>
      <c r="E472" s="441"/>
      <c r="F472" s="441"/>
      <c r="G472" s="441"/>
      <c r="H472" s="441"/>
      <c r="I472" s="441"/>
      <c r="J472" s="441"/>
    </row>
    <row r="473" spans="1:10">
      <c r="A473" s="438"/>
      <c r="B473" s="441"/>
      <c r="C473" s="441"/>
      <c r="D473" s="441"/>
      <c r="E473" s="441"/>
      <c r="F473" s="441"/>
      <c r="G473" s="441"/>
      <c r="H473" s="441"/>
      <c r="I473" s="441"/>
      <c r="J473" s="441"/>
    </row>
    <row r="474" spans="1:10">
      <c r="A474" s="438"/>
      <c r="B474" s="441"/>
      <c r="C474" s="441"/>
      <c r="D474" s="441"/>
      <c r="E474" s="441"/>
      <c r="F474" s="441"/>
      <c r="G474" s="441"/>
      <c r="H474" s="441"/>
      <c r="I474" s="441"/>
      <c r="J474" s="441"/>
    </row>
    <row r="475" spans="1:10">
      <c r="A475" s="438"/>
      <c r="B475" s="441"/>
      <c r="C475" s="441"/>
      <c r="D475" s="441"/>
      <c r="E475" s="441"/>
      <c r="F475" s="441"/>
      <c r="G475" s="441"/>
      <c r="H475" s="441"/>
      <c r="I475" s="441"/>
      <c r="J475" s="441"/>
    </row>
    <row r="476" spans="1:10">
      <c r="A476" s="438"/>
      <c r="B476" s="441"/>
      <c r="C476" s="441"/>
      <c r="D476" s="441"/>
      <c r="E476" s="441"/>
      <c r="F476" s="441"/>
      <c r="G476" s="441"/>
      <c r="H476" s="441"/>
      <c r="I476" s="441"/>
      <c r="J476" s="441"/>
    </row>
    <row r="477" spans="1:10">
      <c r="A477" s="438"/>
      <c r="B477" s="441"/>
      <c r="C477" s="441"/>
      <c r="D477" s="441"/>
      <c r="E477" s="441"/>
      <c r="F477" s="441"/>
      <c r="G477" s="441"/>
      <c r="H477" s="441"/>
      <c r="I477" s="441"/>
      <c r="J477" s="441"/>
    </row>
    <row r="478" spans="1:10">
      <c r="A478" s="438"/>
      <c r="B478" s="441"/>
      <c r="C478" s="441"/>
      <c r="D478" s="441"/>
      <c r="E478" s="441"/>
      <c r="F478" s="441"/>
      <c r="G478" s="441"/>
      <c r="H478" s="441"/>
      <c r="I478" s="441"/>
      <c r="J478" s="441"/>
    </row>
    <row r="479" spans="1:10">
      <c r="A479" s="438"/>
      <c r="B479" s="441"/>
      <c r="C479" s="441"/>
      <c r="D479" s="441"/>
      <c r="E479" s="441"/>
      <c r="F479" s="441"/>
      <c r="G479" s="441"/>
      <c r="H479" s="441"/>
      <c r="I479" s="441"/>
      <c r="J479" s="441"/>
    </row>
    <row r="480" spans="1:10">
      <c r="A480" s="438"/>
      <c r="B480" s="441"/>
      <c r="C480" s="441"/>
      <c r="D480" s="441"/>
      <c r="E480" s="441"/>
      <c r="F480" s="441"/>
      <c r="G480" s="441"/>
      <c r="H480" s="441"/>
      <c r="I480" s="441"/>
      <c r="J480" s="441"/>
    </row>
    <row r="481" spans="1:10">
      <c r="A481" s="438"/>
      <c r="B481" s="441"/>
      <c r="C481" s="441"/>
      <c r="D481" s="441"/>
      <c r="E481" s="441"/>
      <c r="F481" s="441"/>
      <c r="G481" s="441"/>
      <c r="H481" s="441"/>
      <c r="I481" s="441"/>
      <c r="J481" s="441"/>
    </row>
    <row r="482" spans="1:10">
      <c r="A482" s="438"/>
      <c r="B482" s="441"/>
      <c r="C482" s="441"/>
      <c r="D482" s="441"/>
      <c r="E482" s="441"/>
      <c r="F482" s="441"/>
      <c r="G482" s="441"/>
      <c r="H482" s="441"/>
      <c r="I482" s="441"/>
      <c r="J482" s="441"/>
    </row>
    <row r="483" spans="1:10">
      <c r="A483" s="438"/>
      <c r="B483" s="441"/>
      <c r="C483" s="441"/>
      <c r="D483" s="441"/>
      <c r="E483" s="441"/>
      <c r="F483" s="441"/>
      <c r="G483" s="441"/>
      <c r="H483" s="441"/>
      <c r="I483" s="441"/>
      <c r="J483" s="441"/>
    </row>
    <row r="484" spans="1:10">
      <c r="A484" s="438"/>
      <c r="B484" s="441"/>
      <c r="C484" s="441"/>
      <c r="D484" s="441"/>
      <c r="E484" s="441"/>
      <c r="F484" s="441"/>
      <c r="G484" s="441"/>
      <c r="H484" s="441"/>
      <c r="I484" s="441"/>
      <c r="J484" s="441"/>
    </row>
    <row r="485" spans="1:10">
      <c r="A485" s="438"/>
      <c r="B485" s="441"/>
      <c r="C485" s="441"/>
      <c r="D485" s="441"/>
      <c r="E485" s="441"/>
      <c r="F485" s="441"/>
      <c r="G485" s="441"/>
      <c r="H485" s="441"/>
      <c r="I485" s="441"/>
      <c r="J485" s="441"/>
    </row>
    <row r="486" spans="1:10">
      <c r="A486" s="438"/>
      <c r="B486" s="441"/>
      <c r="C486" s="441"/>
      <c r="D486" s="441"/>
      <c r="E486" s="441"/>
      <c r="F486" s="441"/>
      <c r="G486" s="441"/>
      <c r="H486" s="441"/>
      <c r="I486" s="441"/>
      <c r="J486" s="441"/>
    </row>
    <row r="487" spans="1:10">
      <c r="A487" s="438"/>
      <c r="B487" s="441"/>
      <c r="C487" s="441"/>
      <c r="D487" s="441"/>
      <c r="E487" s="441"/>
      <c r="F487" s="441"/>
      <c r="G487" s="441"/>
      <c r="H487" s="441"/>
      <c r="I487" s="441"/>
      <c r="J487" s="441"/>
    </row>
    <row r="488" spans="1:10">
      <c r="A488" s="438"/>
      <c r="B488" s="441"/>
      <c r="C488" s="441"/>
      <c r="D488" s="441"/>
      <c r="E488" s="441"/>
      <c r="F488" s="441"/>
      <c r="G488" s="441"/>
      <c r="H488" s="441"/>
      <c r="I488" s="441"/>
      <c r="J488" s="441"/>
    </row>
    <row r="489" spans="1:10">
      <c r="A489" s="438"/>
      <c r="B489" s="441"/>
      <c r="C489" s="441"/>
      <c r="D489" s="441"/>
      <c r="E489" s="441"/>
      <c r="F489" s="441"/>
      <c r="G489" s="441"/>
      <c r="H489" s="441"/>
      <c r="I489" s="441"/>
      <c r="J489" s="441"/>
    </row>
    <row r="490" spans="1:10">
      <c r="A490" s="438"/>
      <c r="B490" s="441"/>
      <c r="C490" s="441"/>
      <c r="D490" s="441"/>
      <c r="E490" s="441"/>
      <c r="F490" s="441"/>
      <c r="G490" s="441"/>
      <c r="H490" s="441"/>
      <c r="I490" s="441"/>
      <c r="J490" s="441"/>
    </row>
    <row r="491" spans="1:10">
      <c r="A491" s="438"/>
      <c r="B491" s="441"/>
      <c r="C491" s="441"/>
      <c r="D491" s="441"/>
      <c r="E491" s="441"/>
      <c r="F491" s="441"/>
      <c r="G491" s="441"/>
      <c r="H491" s="441"/>
      <c r="I491" s="441"/>
      <c r="J491" s="441"/>
    </row>
    <row r="492" spans="1:10">
      <c r="A492" s="438"/>
      <c r="B492" s="441"/>
      <c r="C492" s="441"/>
      <c r="D492" s="441"/>
      <c r="E492" s="441"/>
      <c r="F492" s="441"/>
      <c r="G492" s="441"/>
      <c r="H492" s="441"/>
      <c r="I492" s="441"/>
      <c r="J492" s="441"/>
    </row>
    <row r="493" spans="1:10">
      <c r="A493" s="438"/>
      <c r="B493" s="441"/>
      <c r="C493" s="441"/>
      <c r="D493" s="441"/>
      <c r="E493" s="441"/>
      <c r="F493" s="441"/>
      <c r="G493" s="441"/>
      <c r="H493" s="441"/>
      <c r="I493" s="441"/>
      <c r="J493" s="441"/>
    </row>
    <row r="494" spans="1:10">
      <c r="A494" s="438"/>
      <c r="B494" s="441"/>
      <c r="C494" s="441"/>
      <c r="D494" s="441"/>
      <c r="E494" s="441"/>
      <c r="F494" s="441"/>
      <c r="G494" s="441"/>
      <c r="H494" s="441"/>
      <c r="I494" s="441"/>
      <c r="J494" s="441"/>
    </row>
    <row r="495" spans="1:10">
      <c r="A495" s="438"/>
      <c r="B495" s="441"/>
      <c r="C495" s="441"/>
      <c r="D495" s="441"/>
      <c r="E495" s="441"/>
      <c r="F495" s="441"/>
      <c r="G495" s="441"/>
      <c r="H495" s="441"/>
      <c r="I495" s="441"/>
      <c r="J495" s="441"/>
    </row>
    <row r="496" spans="1:10">
      <c r="A496" s="438"/>
      <c r="B496" s="441"/>
      <c r="C496" s="441"/>
      <c r="D496" s="441"/>
      <c r="E496" s="441"/>
      <c r="F496" s="441"/>
      <c r="G496" s="441"/>
      <c r="H496" s="441"/>
      <c r="I496" s="441"/>
      <c r="J496" s="441"/>
    </row>
    <row r="497" spans="1:10">
      <c r="A497" s="438"/>
      <c r="B497" s="441"/>
      <c r="C497" s="441"/>
      <c r="D497" s="441"/>
      <c r="E497" s="441"/>
      <c r="F497" s="441"/>
      <c r="G497" s="441"/>
      <c r="H497" s="441"/>
      <c r="I497" s="441"/>
      <c r="J497" s="441"/>
    </row>
    <row r="498" spans="1:10">
      <c r="A498" s="438"/>
      <c r="B498" s="441"/>
      <c r="C498" s="441"/>
      <c r="D498" s="441"/>
      <c r="E498" s="441"/>
      <c r="F498" s="441"/>
      <c r="G498" s="441"/>
      <c r="H498" s="441"/>
      <c r="I498" s="441"/>
      <c r="J498" s="441"/>
    </row>
    <row r="499" spans="1:10">
      <c r="A499" s="438"/>
      <c r="B499" s="441"/>
      <c r="C499" s="441"/>
      <c r="D499" s="441"/>
      <c r="E499" s="441"/>
      <c r="F499" s="441"/>
      <c r="G499" s="441"/>
      <c r="H499" s="441"/>
      <c r="I499" s="441"/>
      <c r="J499" s="441"/>
    </row>
    <row r="500" spans="1:10">
      <c r="A500" s="438"/>
      <c r="B500" s="441"/>
      <c r="C500" s="441"/>
      <c r="D500" s="441"/>
      <c r="E500" s="441"/>
      <c r="F500" s="441"/>
      <c r="G500" s="441"/>
      <c r="H500" s="441"/>
      <c r="I500" s="441"/>
      <c r="J500" s="441"/>
    </row>
    <row r="501" spans="1:10">
      <c r="A501" s="438"/>
      <c r="B501" s="441"/>
      <c r="C501" s="441"/>
      <c r="D501" s="441"/>
      <c r="E501" s="441"/>
      <c r="F501" s="441"/>
      <c r="G501" s="441"/>
      <c r="H501" s="441"/>
      <c r="I501" s="441"/>
      <c r="J501" s="441"/>
    </row>
    <row r="502" spans="1:10">
      <c r="A502" s="438"/>
      <c r="B502" s="441"/>
      <c r="C502" s="441"/>
      <c r="D502" s="441"/>
      <c r="E502" s="441"/>
      <c r="F502" s="441"/>
      <c r="G502" s="441"/>
      <c r="H502" s="441"/>
      <c r="I502" s="441"/>
      <c r="J502" s="441"/>
    </row>
    <row r="503" spans="1:10">
      <c r="A503" s="438"/>
      <c r="B503" s="441"/>
      <c r="C503" s="441"/>
      <c r="D503" s="441"/>
      <c r="E503" s="441"/>
      <c r="F503" s="441"/>
      <c r="G503" s="441"/>
      <c r="H503" s="441"/>
      <c r="I503" s="441"/>
      <c r="J503" s="441"/>
    </row>
    <row r="504" spans="1:10">
      <c r="A504" s="438"/>
      <c r="B504" s="441"/>
      <c r="C504" s="441"/>
      <c r="D504" s="441"/>
      <c r="E504" s="441"/>
      <c r="F504" s="441"/>
      <c r="G504" s="441"/>
      <c r="H504" s="441"/>
      <c r="I504" s="441"/>
      <c r="J504" s="441"/>
    </row>
    <row r="505" spans="1:10">
      <c r="A505" s="438"/>
      <c r="B505" s="441"/>
      <c r="C505" s="441"/>
      <c r="D505" s="441"/>
      <c r="E505" s="441"/>
      <c r="F505" s="441"/>
      <c r="G505" s="441"/>
      <c r="H505" s="441"/>
      <c r="I505" s="441"/>
      <c r="J505" s="441"/>
    </row>
    <row r="506" spans="1:10">
      <c r="A506" s="438"/>
      <c r="B506" s="441"/>
      <c r="C506" s="441"/>
      <c r="D506" s="441"/>
      <c r="E506" s="441"/>
      <c r="F506" s="441"/>
      <c r="G506" s="441"/>
      <c r="H506" s="441"/>
      <c r="I506" s="441"/>
      <c r="J506" s="441"/>
    </row>
    <row r="507" spans="1:10">
      <c r="A507" s="438"/>
      <c r="B507" s="441"/>
      <c r="C507" s="441"/>
      <c r="D507" s="441"/>
      <c r="E507" s="441"/>
      <c r="F507" s="441"/>
      <c r="G507" s="441"/>
      <c r="H507" s="441"/>
      <c r="I507" s="441"/>
      <c r="J507" s="441"/>
    </row>
    <row r="508" spans="1:10">
      <c r="A508" s="438"/>
      <c r="B508" s="441"/>
      <c r="C508" s="441"/>
      <c r="D508" s="441"/>
      <c r="E508" s="441"/>
      <c r="F508" s="441"/>
      <c r="G508" s="441"/>
      <c r="H508" s="441"/>
      <c r="I508" s="441"/>
      <c r="J508" s="441"/>
    </row>
    <row r="509" spans="1:10">
      <c r="A509" s="438"/>
      <c r="B509" s="441"/>
      <c r="C509" s="441"/>
      <c r="D509" s="441"/>
      <c r="E509" s="441"/>
      <c r="F509" s="441"/>
      <c r="G509" s="441"/>
      <c r="H509" s="441"/>
      <c r="I509" s="441"/>
      <c r="J509" s="441"/>
    </row>
    <row r="510" spans="1:10">
      <c r="A510" s="438"/>
      <c r="B510" s="441"/>
      <c r="C510" s="441"/>
      <c r="D510" s="441"/>
      <c r="E510" s="441"/>
      <c r="F510" s="441"/>
      <c r="G510" s="441"/>
      <c r="H510" s="441"/>
      <c r="I510" s="441"/>
      <c r="J510" s="441"/>
    </row>
    <row r="511" spans="1:10">
      <c r="A511" s="438"/>
      <c r="B511" s="441"/>
      <c r="C511" s="441"/>
      <c r="D511" s="441"/>
      <c r="E511" s="441"/>
      <c r="F511" s="441"/>
      <c r="G511" s="441"/>
      <c r="H511" s="441"/>
      <c r="I511" s="441"/>
      <c r="J511" s="441"/>
    </row>
    <row r="512" spans="1:10">
      <c r="A512" s="438"/>
      <c r="B512" s="441"/>
      <c r="C512" s="441"/>
      <c r="D512" s="441"/>
      <c r="E512" s="441"/>
      <c r="F512" s="441"/>
      <c r="G512" s="441"/>
      <c r="H512" s="441"/>
      <c r="I512" s="441"/>
      <c r="J512" s="441"/>
    </row>
    <row r="513" spans="1:10">
      <c r="A513" s="438"/>
      <c r="B513" s="441"/>
      <c r="C513" s="441"/>
      <c r="D513" s="441"/>
      <c r="E513" s="441"/>
      <c r="F513" s="441"/>
      <c r="G513" s="441"/>
      <c r="H513" s="441"/>
      <c r="I513" s="441"/>
      <c r="J513" s="441"/>
    </row>
    <row r="514" spans="1:10">
      <c r="A514" s="438"/>
      <c r="B514" s="441"/>
      <c r="C514" s="441"/>
      <c r="D514" s="441"/>
      <c r="E514" s="441"/>
      <c r="F514" s="441"/>
      <c r="G514" s="441"/>
      <c r="H514" s="441"/>
      <c r="I514" s="441"/>
      <c r="J514" s="441"/>
    </row>
    <row r="515" spans="1:10">
      <c r="A515" s="438"/>
      <c r="B515" s="441"/>
      <c r="C515" s="441"/>
      <c r="D515" s="441"/>
      <c r="E515" s="441"/>
      <c r="F515" s="441"/>
      <c r="G515" s="441"/>
      <c r="H515" s="441"/>
      <c r="I515" s="441"/>
      <c r="J515" s="441"/>
    </row>
    <row r="516" spans="1:10">
      <c r="A516" s="438"/>
      <c r="B516" s="441"/>
      <c r="C516" s="441"/>
      <c r="D516" s="441"/>
      <c r="E516" s="441"/>
      <c r="F516" s="441"/>
      <c r="G516" s="441"/>
      <c r="H516" s="441"/>
      <c r="I516" s="441"/>
      <c r="J516" s="441"/>
    </row>
    <row r="517" spans="1:10">
      <c r="A517" s="438"/>
      <c r="B517" s="441"/>
      <c r="C517" s="441"/>
      <c r="D517" s="441"/>
      <c r="E517" s="441"/>
      <c r="F517" s="441"/>
      <c r="G517" s="441"/>
      <c r="H517" s="441"/>
      <c r="I517" s="441"/>
      <c r="J517" s="441"/>
    </row>
    <row r="518" spans="1:10">
      <c r="A518" s="438"/>
      <c r="B518" s="441"/>
      <c r="C518" s="441"/>
      <c r="D518" s="441"/>
      <c r="E518" s="441"/>
      <c r="F518" s="441"/>
      <c r="G518" s="441"/>
      <c r="H518" s="441"/>
      <c r="I518" s="441"/>
      <c r="J518" s="441"/>
    </row>
    <row r="519" spans="1:10">
      <c r="A519" s="438"/>
      <c r="B519" s="441"/>
      <c r="C519" s="441"/>
      <c r="D519" s="441"/>
      <c r="E519" s="441"/>
      <c r="F519" s="441"/>
      <c r="G519" s="441"/>
      <c r="H519" s="441"/>
      <c r="I519" s="441"/>
      <c r="J519" s="441"/>
    </row>
    <row r="520" spans="1:10">
      <c r="A520" s="438"/>
      <c r="B520" s="441"/>
      <c r="C520" s="441"/>
      <c r="D520" s="441"/>
      <c r="E520" s="441"/>
      <c r="F520" s="441"/>
      <c r="G520" s="441"/>
      <c r="H520" s="441"/>
      <c r="I520" s="441"/>
      <c r="J520" s="441"/>
    </row>
    <row r="521" spans="1:10">
      <c r="A521" s="438"/>
      <c r="B521" s="441"/>
      <c r="C521" s="441"/>
      <c r="D521" s="441"/>
      <c r="E521" s="441"/>
      <c r="F521" s="441"/>
      <c r="G521" s="441"/>
      <c r="H521" s="441"/>
      <c r="I521" s="441"/>
      <c r="J521" s="441"/>
    </row>
    <row r="522" spans="1:10">
      <c r="A522" s="438"/>
      <c r="B522" s="441"/>
      <c r="C522" s="441"/>
      <c r="D522" s="441"/>
      <c r="E522" s="441"/>
      <c r="F522" s="441"/>
      <c r="G522" s="441"/>
      <c r="H522" s="441"/>
      <c r="I522" s="441"/>
      <c r="J522" s="441"/>
    </row>
    <row r="523" spans="1:10">
      <c r="A523" s="438"/>
      <c r="B523" s="441"/>
      <c r="C523" s="441"/>
      <c r="D523" s="441"/>
      <c r="E523" s="441"/>
      <c r="F523" s="441"/>
      <c r="G523" s="441"/>
      <c r="H523" s="441"/>
      <c r="I523" s="441"/>
      <c r="J523" s="441"/>
    </row>
    <row r="524" spans="1:10">
      <c r="A524" s="438"/>
      <c r="B524" s="441"/>
      <c r="C524" s="441"/>
      <c r="D524" s="441"/>
      <c r="E524" s="441"/>
      <c r="F524" s="441"/>
      <c r="G524" s="441"/>
      <c r="H524" s="441"/>
      <c r="I524" s="441"/>
      <c r="J524" s="441"/>
    </row>
    <row r="525" spans="1:10">
      <c r="A525" s="438"/>
      <c r="B525" s="441"/>
      <c r="C525" s="441"/>
      <c r="D525" s="441"/>
      <c r="E525" s="441"/>
      <c r="F525" s="441"/>
      <c r="G525" s="441"/>
      <c r="H525" s="441"/>
      <c r="I525" s="441"/>
      <c r="J525" s="441"/>
    </row>
    <row r="526" spans="1:10">
      <c r="A526" s="438"/>
      <c r="B526" s="441"/>
      <c r="C526" s="441"/>
      <c r="D526" s="441"/>
      <c r="E526" s="441"/>
      <c r="F526" s="441"/>
      <c r="G526" s="441"/>
      <c r="H526" s="441"/>
      <c r="I526" s="441"/>
      <c r="J526" s="441"/>
    </row>
    <row r="527" spans="1:10">
      <c r="A527" s="438"/>
      <c r="B527" s="441"/>
      <c r="C527" s="441"/>
      <c r="D527" s="441"/>
      <c r="E527" s="441"/>
      <c r="F527" s="441"/>
      <c r="G527" s="441"/>
      <c r="H527" s="441"/>
      <c r="I527" s="441"/>
      <c r="J527" s="441"/>
    </row>
    <row r="528" spans="1:10">
      <c r="A528" s="438"/>
      <c r="B528" s="441"/>
      <c r="C528" s="441"/>
      <c r="D528" s="441"/>
      <c r="E528" s="441"/>
      <c r="F528" s="441"/>
      <c r="G528" s="441"/>
      <c r="H528" s="441"/>
      <c r="I528" s="441"/>
      <c r="J528" s="441"/>
    </row>
    <row r="529" spans="1:10">
      <c r="A529" s="438"/>
      <c r="B529" s="441"/>
      <c r="C529" s="441"/>
      <c r="D529" s="441"/>
      <c r="E529" s="441"/>
      <c r="F529" s="441"/>
      <c r="G529" s="441"/>
      <c r="H529" s="441"/>
      <c r="I529" s="441"/>
      <c r="J529" s="441"/>
    </row>
    <row r="530" spans="1:10">
      <c r="A530" s="438"/>
      <c r="B530" s="441"/>
      <c r="C530" s="441"/>
      <c r="D530" s="441"/>
      <c r="E530" s="441"/>
      <c r="F530" s="441"/>
      <c r="G530" s="441"/>
      <c r="H530" s="441"/>
      <c r="I530" s="441"/>
      <c r="J530" s="441"/>
    </row>
    <row r="531" spans="1:10">
      <c r="A531" s="438"/>
      <c r="B531" s="441"/>
      <c r="C531" s="441"/>
      <c r="D531" s="441"/>
      <c r="E531" s="441"/>
      <c r="F531" s="441"/>
      <c r="G531" s="441"/>
      <c r="H531" s="441"/>
      <c r="I531" s="441"/>
      <c r="J531" s="441"/>
    </row>
    <row r="532" spans="1:10">
      <c r="A532" s="438"/>
      <c r="B532" s="441"/>
      <c r="C532" s="441"/>
      <c r="D532" s="441"/>
      <c r="E532" s="441"/>
      <c r="F532" s="441"/>
      <c r="G532" s="441"/>
      <c r="H532" s="441"/>
      <c r="I532" s="441"/>
      <c r="J532" s="441"/>
    </row>
    <row r="533" spans="1:10">
      <c r="A533" s="438"/>
      <c r="B533" s="441"/>
      <c r="C533" s="441"/>
      <c r="D533" s="441"/>
      <c r="E533" s="441"/>
      <c r="F533" s="441"/>
      <c r="G533" s="441"/>
      <c r="H533" s="441"/>
      <c r="I533" s="441"/>
      <c r="J533" s="441"/>
    </row>
    <row r="534" spans="1:10">
      <c r="A534" s="438"/>
      <c r="B534" s="441"/>
      <c r="C534" s="441"/>
      <c r="D534" s="441"/>
      <c r="E534" s="441"/>
      <c r="F534" s="441"/>
      <c r="G534" s="441"/>
      <c r="H534" s="441"/>
      <c r="I534" s="441"/>
      <c r="J534" s="441"/>
    </row>
    <row r="535" spans="1:10">
      <c r="A535" s="438"/>
      <c r="B535" s="441"/>
      <c r="C535" s="441"/>
      <c r="D535" s="441"/>
      <c r="E535" s="441"/>
      <c r="F535" s="441"/>
      <c r="G535" s="441"/>
      <c r="H535" s="441"/>
      <c r="I535" s="441"/>
      <c r="J535" s="441"/>
    </row>
    <row r="536" spans="1:10">
      <c r="A536" s="438"/>
      <c r="B536" s="441"/>
      <c r="C536" s="441"/>
      <c r="D536" s="441"/>
      <c r="E536" s="441"/>
      <c r="F536" s="441"/>
      <c r="G536" s="441"/>
      <c r="H536" s="441"/>
      <c r="I536" s="441"/>
      <c r="J536" s="441"/>
    </row>
    <row r="537" spans="1:10">
      <c r="A537" s="438"/>
      <c r="B537" s="441"/>
      <c r="C537" s="441"/>
      <c r="D537" s="441"/>
      <c r="E537" s="441"/>
      <c r="F537" s="441"/>
      <c r="G537" s="441"/>
      <c r="H537" s="441"/>
      <c r="I537" s="441"/>
      <c r="J537" s="441"/>
    </row>
    <row r="538" spans="1:10">
      <c r="A538" s="438"/>
      <c r="B538" s="441"/>
      <c r="C538" s="441"/>
      <c r="D538" s="441"/>
      <c r="E538" s="441"/>
      <c r="F538" s="441"/>
      <c r="G538" s="441"/>
      <c r="H538" s="441"/>
      <c r="I538" s="441"/>
      <c r="J538" s="441"/>
    </row>
    <row r="539" spans="1:10">
      <c r="A539" s="438"/>
      <c r="B539" s="441"/>
      <c r="C539" s="441"/>
      <c r="D539" s="441"/>
      <c r="E539" s="441"/>
      <c r="F539" s="441"/>
      <c r="G539" s="441"/>
      <c r="H539" s="441"/>
      <c r="I539" s="441"/>
      <c r="J539" s="441"/>
    </row>
    <row r="540" spans="1:10">
      <c r="A540" s="438"/>
      <c r="B540" s="441"/>
      <c r="C540" s="441"/>
      <c r="D540" s="441"/>
      <c r="E540" s="441"/>
      <c r="F540" s="441"/>
      <c r="G540" s="441"/>
      <c r="H540" s="441"/>
      <c r="I540" s="441"/>
      <c r="J540" s="441"/>
    </row>
    <row r="541" spans="1:10">
      <c r="A541" s="438"/>
      <c r="B541" s="441"/>
      <c r="C541" s="441"/>
      <c r="D541" s="441"/>
      <c r="E541" s="441"/>
      <c r="F541" s="441"/>
      <c r="G541" s="441"/>
      <c r="H541" s="441"/>
      <c r="I541" s="441"/>
      <c r="J541" s="441"/>
    </row>
    <row r="542" spans="1:10">
      <c r="A542" s="438"/>
      <c r="B542" s="441"/>
      <c r="C542" s="441"/>
      <c r="D542" s="441"/>
      <c r="E542" s="441"/>
      <c r="F542" s="441"/>
      <c r="G542" s="441"/>
      <c r="H542" s="441"/>
      <c r="I542" s="441"/>
      <c r="J542" s="441"/>
    </row>
    <row r="543" spans="1:10">
      <c r="A543" s="438"/>
      <c r="B543" s="441"/>
      <c r="C543" s="441"/>
      <c r="D543" s="441"/>
      <c r="E543" s="441"/>
      <c r="F543" s="441"/>
      <c r="G543" s="441"/>
      <c r="H543" s="441"/>
      <c r="I543" s="441"/>
      <c r="J543" s="441"/>
    </row>
    <row r="544" spans="1:10">
      <c r="A544" s="438"/>
      <c r="B544" s="441"/>
      <c r="C544" s="441"/>
      <c r="D544" s="441"/>
      <c r="E544" s="441"/>
      <c r="F544" s="441"/>
      <c r="G544" s="441"/>
      <c r="H544" s="441"/>
      <c r="I544" s="441"/>
      <c r="J544" s="441"/>
    </row>
    <row r="545" spans="1:10">
      <c r="A545" s="438"/>
      <c r="B545" s="441"/>
      <c r="C545" s="441"/>
      <c r="D545" s="441"/>
      <c r="E545" s="441"/>
      <c r="F545" s="441"/>
      <c r="G545" s="441"/>
      <c r="H545" s="441"/>
      <c r="I545" s="441"/>
      <c r="J545" s="441"/>
    </row>
    <row r="546" spans="1:10">
      <c r="A546" s="438"/>
      <c r="B546" s="441"/>
      <c r="C546" s="441"/>
      <c r="D546" s="441"/>
      <c r="E546" s="441"/>
      <c r="F546" s="441"/>
      <c r="G546" s="441"/>
      <c r="H546" s="441"/>
      <c r="I546" s="441"/>
      <c r="J546" s="441"/>
    </row>
    <row r="547" spans="1:10">
      <c r="A547" s="438"/>
      <c r="B547" s="441"/>
      <c r="C547" s="441"/>
      <c r="D547" s="441"/>
      <c r="E547" s="441"/>
      <c r="F547" s="441"/>
      <c r="G547" s="441"/>
      <c r="H547" s="441"/>
      <c r="I547" s="441"/>
      <c r="J547" s="441"/>
    </row>
    <row r="548" spans="1:10">
      <c r="A548" s="438"/>
      <c r="B548" s="441"/>
      <c r="C548" s="441"/>
      <c r="D548" s="441"/>
      <c r="E548" s="441"/>
      <c r="F548" s="441"/>
      <c r="G548" s="441"/>
      <c r="H548" s="441"/>
      <c r="I548" s="441"/>
      <c r="J548" s="441"/>
    </row>
    <row r="549" spans="1:10">
      <c r="A549" s="438"/>
      <c r="B549" s="441"/>
      <c r="C549" s="441"/>
      <c r="D549" s="441"/>
      <c r="E549" s="441"/>
      <c r="F549" s="441"/>
      <c r="G549" s="441"/>
      <c r="H549" s="441"/>
      <c r="I549" s="441"/>
      <c r="J549" s="441"/>
    </row>
    <row r="550" spans="1:10">
      <c r="A550" s="438"/>
      <c r="B550" s="441"/>
      <c r="C550" s="441"/>
      <c r="D550" s="441"/>
      <c r="E550" s="441"/>
      <c r="F550" s="441"/>
      <c r="G550" s="441"/>
      <c r="H550" s="441"/>
      <c r="I550" s="441"/>
      <c r="J550" s="441"/>
    </row>
    <row r="551" spans="1:10">
      <c r="A551" s="438"/>
      <c r="B551" s="441"/>
      <c r="C551" s="441"/>
      <c r="D551" s="441"/>
      <c r="E551" s="441"/>
      <c r="F551" s="441"/>
      <c r="G551" s="441"/>
      <c r="H551" s="441"/>
      <c r="I551" s="441"/>
      <c r="J551" s="441"/>
    </row>
    <row r="552" spans="1:10">
      <c r="A552" s="438"/>
      <c r="B552" s="441"/>
      <c r="C552" s="441"/>
      <c r="D552" s="441"/>
      <c r="E552" s="441"/>
      <c r="F552" s="441"/>
      <c r="G552" s="441"/>
      <c r="H552" s="441"/>
      <c r="I552" s="441"/>
      <c r="J552" s="441"/>
    </row>
    <row r="553" spans="1:10">
      <c r="A553" s="438"/>
      <c r="B553" s="441"/>
      <c r="C553" s="441"/>
      <c r="D553" s="441"/>
      <c r="E553" s="441"/>
      <c r="F553" s="441"/>
      <c r="G553" s="441"/>
      <c r="H553" s="441"/>
      <c r="I553" s="441"/>
      <c r="J553" s="441"/>
    </row>
    <row r="554" spans="1:10">
      <c r="A554" s="438"/>
      <c r="B554" s="441"/>
      <c r="C554" s="441"/>
      <c r="D554" s="441"/>
      <c r="E554" s="441"/>
      <c r="F554" s="441"/>
      <c r="G554" s="441"/>
      <c r="H554" s="441"/>
      <c r="I554" s="441"/>
      <c r="J554" s="441"/>
    </row>
    <row r="555" spans="1:10">
      <c r="A555" s="438"/>
      <c r="B555" s="441"/>
      <c r="C555" s="441"/>
      <c r="D555" s="441"/>
      <c r="E555" s="441"/>
      <c r="F555" s="441"/>
      <c r="G555" s="441"/>
      <c r="H555" s="441"/>
      <c r="I555" s="441"/>
      <c r="J555" s="441"/>
    </row>
    <row r="556" spans="1:10">
      <c r="A556" s="438"/>
      <c r="B556" s="441"/>
      <c r="C556" s="441"/>
      <c r="D556" s="441"/>
      <c r="E556" s="441"/>
      <c r="F556" s="441"/>
      <c r="G556" s="441"/>
      <c r="H556" s="441"/>
      <c r="I556" s="441"/>
      <c r="J556" s="441"/>
    </row>
    <row r="557" spans="1:10">
      <c r="A557" s="438"/>
      <c r="B557" s="441"/>
      <c r="C557" s="441"/>
      <c r="D557" s="441"/>
      <c r="E557" s="441"/>
      <c r="F557" s="441"/>
      <c r="G557" s="441"/>
      <c r="H557" s="441"/>
      <c r="I557" s="441"/>
      <c r="J557" s="441"/>
    </row>
    <row r="558" spans="1:10">
      <c r="A558" s="438"/>
      <c r="B558" s="441"/>
      <c r="C558" s="441"/>
      <c r="D558" s="441"/>
      <c r="E558" s="441"/>
      <c r="F558" s="441"/>
      <c r="G558" s="441"/>
      <c r="H558" s="441"/>
      <c r="I558" s="441"/>
      <c r="J558" s="441"/>
    </row>
    <row r="559" spans="1:10">
      <c r="A559" s="438"/>
      <c r="B559" s="441"/>
      <c r="C559" s="441"/>
      <c r="D559" s="441"/>
      <c r="E559" s="441"/>
      <c r="F559" s="441"/>
      <c r="G559" s="441"/>
      <c r="H559" s="441"/>
      <c r="I559" s="441"/>
      <c r="J559" s="441"/>
    </row>
    <row r="560" spans="1:10">
      <c r="A560" s="438"/>
      <c r="B560" s="441"/>
      <c r="C560" s="441"/>
      <c r="D560" s="441"/>
      <c r="E560" s="441"/>
      <c r="F560" s="441"/>
      <c r="G560" s="441"/>
      <c r="H560" s="441"/>
      <c r="I560" s="441"/>
      <c r="J560" s="441"/>
    </row>
    <row r="561" spans="1:10">
      <c r="A561" s="438"/>
      <c r="B561" s="441"/>
      <c r="C561" s="441"/>
      <c r="D561" s="441"/>
      <c r="E561" s="441"/>
      <c r="F561" s="441"/>
      <c r="G561" s="441"/>
      <c r="H561" s="441"/>
      <c r="I561" s="441"/>
      <c r="J561" s="441"/>
    </row>
    <row r="562" spans="1:10">
      <c r="A562" s="438"/>
      <c r="B562" s="441"/>
      <c r="C562" s="441"/>
      <c r="D562" s="441"/>
      <c r="E562" s="441"/>
      <c r="F562" s="441"/>
      <c r="G562" s="441"/>
      <c r="H562" s="441"/>
      <c r="I562" s="441"/>
      <c r="J562" s="441"/>
    </row>
    <row r="563" spans="1:10">
      <c r="A563" s="438"/>
      <c r="B563" s="441"/>
      <c r="C563" s="441"/>
      <c r="D563" s="441"/>
      <c r="E563" s="441"/>
      <c r="F563" s="441"/>
      <c r="G563" s="441"/>
      <c r="H563" s="441"/>
      <c r="I563" s="441"/>
      <c r="J563" s="441"/>
    </row>
    <row r="564" spans="1:10">
      <c r="A564" s="438"/>
      <c r="B564" s="441"/>
      <c r="C564" s="441"/>
      <c r="D564" s="441"/>
      <c r="E564" s="441"/>
      <c r="F564" s="441"/>
      <c r="G564" s="441"/>
      <c r="H564" s="441"/>
      <c r="I564" s="441"/>
      <c r="J564" s="441"/>
    </row>
    <row r="565" spans="1:10">
      <c r="A565" s="438"/>
      <c r="B565" s="441"/>
      <c r="C565" s="441"/>
      <c r="D565" s="441"/>
      <c r="E565" s="441"/>
      <c r="F565" s="441"/>
      <c r="G565" s="441"/>
      <c r="H565" s="441"/>
      <c r="I565" s="441"/>
      <c r="J565" s="441"/>
    </row>
    <row r="566" spans="1:10">
      <c r="A566" s="438"/>
      <c r="B566" s="441"/>
      <c r="C566" s="441"/>
      <c r="D566" s="441"/>
      <c r="E566" s="441"/>
      <c r="F566" s="441"/>
      <c r="G566" s="441"/>
      <c r="H566" s="441"/>
      <c r="I566" s="441"/>
      <c r="J566" s="441"/>
    </row>
    <row r="567" spans="1:10">
      <c r="A567" s="438"/>
      <c r="B567" s="441"/>
      <c r="C567" s="441"/>
      <c r="D567" s="441"/>
      <c r="E567" s="441"/>
      <c r="F567" s="441"/>
      <c r="G567" s="441"/>
      <c r="H567" s="441"/>
      <c r="I567" s="441"/>
      <c r="J567" s="441"/>
    </row>
    <row r="568" spans="1:10">
      <c r="A568" s="438"/>
      <c r="B568" s="441"/>
      <c r="C568" s="441"/>
      <c r="D568" s="441"/>
      <c r="E568" s="441"/>
      <c r="F568" s="441"/>
      <c r="G568" s="441"/>
      <c r="H568" s="441"/>
      <c r="I568" s="441"/>
      <c r="J568" s="441"/>
    </row>
    <row r="569" spans="1:10">
      <c r="A569" s="438"/>
      <c r="B569" s="441"/>
      <c r="C569" s="441"/>
      <c r="D569" s="441"/>
      <c r="E569" s="441"/>
      <c r="F569" s="441"/>
      <c r="G569" s="441"/>
      <c r="H569" s="441"/>
      <c r="I569" s="441"/>
      <c r="J569" s="441"/>
    </row>
    <row r="570" spans="1:10">
      <c r="A570" s="438"/>
      <c r="B570" s="441"/>
      <c r="C570" s="441"/>
      <c r="D570" s="441"/>
      <c r="E570" s="441"/>
      <c r="F570" s="441"/>
      <c r="G570" s="441"/>
      <c r="H570" s="441"/>
      <c r="I570" s="441"/>
      <c r="J570" s="441"/>
    </row>
    <row r="571" spans="1:10">
      <c r="A571" s="438"/>
      <c r="B571" s="441"/>
      <c r="C571" s="441"/>
      <c r="D571" s="441"/>
      <c r="E571" s="441"/>
      <c r="F571" s="441"/>
      <c r="G571" s="441"/>
      <c r="H571" s="441"/>
      <c r="I571" s="441"/>
      <c r="J571" s="441"/>
    </row>
    <row r="572" spans="1:10">
      <c r="A572" s="438"/>
      <c r="B572" s="441"/>
      <c r="C572" s="441"/>
      <c r="D572" s="441"/>
      <c r="E572" s="441"/>
      <c r="F572" s="441"/>
      <c r="G572" s="441"/>
      <c r="H572" s="441"/>
      <c r="I572" s="441"/>
      <c r="J572" s="441"/>
    </row>
    <row r="573" spans="1:10">
      <c r="A573" s="438"/>
      <c r="B573" s="441"/>
      <c r="C573" s="441"/>
      <c r="D573" s="441"/>
      <c r="E573" s="441"/>
      <c r="F573" s="441"/>
      <c r="G573" s="441"/>
      <c r="H573" s="441"/>
      <c r="I573" s="441"/>
      <c r="J573" s="441"/>
    </row>
    <row r="574" spans="1:10">
      <c r="A574" s="438"/>
      <c r="B574" s="441"/>
      <c r="C574" s="441"/>
      <c r="D574" s="441"/>
      <c r="E574" s="441"/>
      <c r="F574" s="441"/>
      <c r="G574" s="441"/>
      <c r="H574" s="441"/>
      <c r="I574" s="441"/>
      <c r="J574" s="441"/>
    </row>
    <row r="575" spans="1:10">
      <c r="A575" s="438"/>
      <c r="B575" s="441"/>
      <c r="C575" s="441"/>
      <c r="D575" s="441"/>
      <c r="E575" s="441"/>
      <c r="F575" s="441"/>
      <c r="G575" s="441"/>
      <c r="H575" s="441"/>
      <c r="I575" s="441"/>
      <c r="J575" s="441"/>
    </row>
    <row r="576" spans="1:10">
      <c r="A576" s="438"/>
      <c r="B576" s="441"/>
      <c r="C576" s="441"/>
      <c r="D576" s="441"/>
      <c r="E576" s="441"/>
      <c r="F576" s="441"/>
      <c r="G576" s="441"/>
      <c r="H576" s="441"/>
      <c r="I576" s="441"/>
      <c r="J576" s="441"/>
    </row>
    <row r="577" spans="1:10">
      <c r="A577" s="438"/>
      <c r="B577" s="441"/>
      <c r="C577" s="441"/>
      <c r="D577" s="441"/>
      <c r="E577" s="441"/>
      <c r="F577" s="441"/>
      <c r="G577" s="441"/>
      <c r="H577" s="441"/>
      <c r="I577" s="441"/>
      <c r="J577" s="441"/>
    </row>
    <row r="578" spans="1:10">
      <c r="A578" s="438"/>
      <c r="B578" s="441"/>
      <c r="C578" s="441"/>
      <c r="D578" s="441"/>
      <c r="E578" s="441"/>
      <c r="F578" s="441"/>
      <c r="G578" s="441"/>
      <c r="H578" s="441"/>
      <c r="I578" s="441"/>
      <c r="J578" s="441"/>
    </row>
    <row r="579" spans="1:10">
      <c r="A579" s="438"/>
      <c r="B579" s="441"/>
      <c r="C579" s="441"/>
      <c r="D579" s="441"/>
      <c r="E579" s="441"/>
      <c r="F579" s="441"/>
      <c r="G579" s="441"/>
      <c r="H579" s="441"/>
      <c r="I579" s="441"/>
      <c r="J579" s="441"/>
    </row>
    <row r="580" spans="1:10">
      <c r="A580" s="438"/>
      <c r="B580" s="441"/>
      <c r="C580" s="441"/>
      <c r="D580" s="441"/>
      <c r="E580" s="441"/>
      <c r="F580" s="441"/>
      <c r="G580" s="441"/>
      <c r="H580" s="441"/>
      <c r="I580" s="441"/>
      <c r="J580" s="441"/>
    </row>
    <row r="581" spans="1:10">
      <c r="A581" s="438"/>
      <c r="B581" s="441"/>
      <c r="C581" s="441"/>
      <c r="D581" s="441"/>
      <c r="E581" s="441"/>
      <c r="F581" s="441"/>
      <c r="G581" s="441"/>
      <c r="H581" s="441"/>
      <c r="I581" s="441"/>
      <c r="J581" s="441"/>
    </row>
    <row r="582" spans="1:10">
      <c r="A582" s="438"/>
      <c r="B582" s="441"/>
      <c r="C582" s="441"/>
      <c r="D582" s="441"/>
      <c r="E582" s="441"/>
      <c r="F582" s="441"/>
      <c r="G582" s="441"/>
      <c r="H582" s="441"/>
      <c r="I582" s="441"/>
      <c r="J582" s="441"/>
    </row>
    <row r="583" spans="1:10">
      <c r="A583" s="438"/>
      <c r="B583" s="441"/>
      <c r="C583" s="441"/>
      <c r="D583" s="441"/>
      <c r="E583" s="441"/>
      <c r="F583" s="441"/>
      <c r="G583" s="441"/>
      <c r="H583" s="441"/>
      <c r="I583" s="441"/>
      <c r="J583" s="441"/>
    </row>
    <row r="584" spans="1:10">
      <c r="A584" s="438"/>
      <c r="B584" s="441"/>
      <c r="C584" s="441"/>
      <c r="D584" s="441"/>
      <c r="E584" s="441"/>
      <c r="F584" s="441"/>
      <c r="G584" s="441"/>
      <c r="H584" s="441"/>
      <c r="I584" s="441"/>
      <c r="J584" s="441"/>
    </row>
    <row r="585" spans="1:10">
      <c r="A585" s="438"/>
      <c r="B585" s="441"/>
      <c r="C585" s="441"/>
      <c r="D585" s="441"/>
      <c r="E585" s="441"/>
      <c r="F585" s="441"/>
      <c r="G585" s="441"/>
      <c r="H585" s="441"/>
      <c r="I585" s="441"/>
      <c r="J585" s="441"/>
    </row>
    <row r="586" spans="1:10">
      <c r="A586" s="438"/>
      <c r="B586" s="441"/>
      <c r="C586" s="441"/>
      <c r="D586" s="441"/>
      <c r="E586" s="441"/>
      <c r="F586" s="441"/>
      <c r="G586" s="441"/>
      <c r="H586" s="441"/>
      <c r="I586" s="441"/>
      <c r="J586" s="441"/>
    </row>
    <row r="587" spans="1:10">
      <c r="A587" s="438"/>
      <c r="B587" s="441"/>
      <c r="C587" s="441"/>
      <c r="D587" s="441"/>
      <c r="E587" s="441"/>
      <c r="F587" s="441"/>
      <c r="G587" s="441"/>
      <c r="H587" s="441"/>
      <c r="I587" s="441"/>
      <c r="J587" s="441"/>
    </row>
    <row r="588" spans="1:10">
      <c r="A588" s="438"/>
      <c r="B588" s="441"/>
      <c r="C588" s="441"/>
      <c r="D588" s="441"/>
      <c r="E588" s="441"/>
      <c r="F588" s="441"/>
      <c r="G588" s="441"/>
      <c r="H588" s="441"/>
      <c r="I588" s="441"/>
      <c r="J588" s="441"/>
    </row>
    <row r="589" spans="1:10">
      <c r="A589" s="438"/>
      <c r="B589" s="441"/>
      <c r="C589" s="441"/>
      <c r="D589" s="441"/>
      <c r="E589" s="441"/>
      <c r="F589" s="441"/>
      <c r="G589" s="441"/>
      <c r="H589" s="441"/>
      <c r="I589" s="441"/>
      <c r="J589" s="441"/>
    </row>
    <row r="590" spans="1:10">
      <c r="A590" s="438"/>
      <c r="B590" s="441"/>
      <c r="C590" s="441"/>
      <c r="D590" s="441"/>
      <c r="E590" s="441"/>
      <c r="F590" s="441"/>
      <c r="G590" s="441"/>
      <c r="H590" s="441"/>
      <c r="I590" s="441"/>
      <c r="J590" s="441"/>
    </row>
    <row r="591" spans="1:10">
      <c r="A591" s="438"/>
      <c r="B591" s="441"/>
      <c r="C591" s="441"/>
      <c r="D591" s="441"/>
      <c r="E591" s="441"/>
      <c r="F591" s="441"/>
      <c r="G591" s="441"/>
      <c r="H591" s="441"/>
      <c r="I591" s="441"/>
      <c r="J591" s="441"/>
    </row>
    <row r="592" spans="1:10">
      <c r="A592" s="438"/>
      <c r="B592" s="441"/>
      <c r="C592" s="441"/>
      <c r="D592" s="441"/>
      <c r="E592" s="441"/>
      <c r="F592" s="441"/>
      <c r="G592" s="441"/>
      <c r="H592" s="441"/>
      <c r="I592" s="441"/>
      <c r="J592" s="441"/>
    </row>
    <row r="593" spans="1:10">
      <c r="A593" s="438"/>
      <c r="B593" s="441"/>
      <c r="C593" s="441"/>
      <c r="D593" s="441"/>
      <c r="E593" s="441"/>
      <c r="F593" s="441"/>
      <c r="G593" s="441"/>
      <c r="H593" s="441"/>
      <c r="I593" s="441"/>
      <c r="J593" s="441"/>
    </row>
    <row r="594" spans="1:10">
      <c r="A594" s="438"/>
      <c r="B594" s="441"/>
      <c r="C594" s="441"/>
      <c r="D594" s="441"/>
      <c r="E594" s="441"/>
      <c r="F594" s="441"/>
      <c r="G594" s="441"/>
      <c r="H594" s="441"/>
      <c r="I594" s="441"/>
      <c r="J594" s="441"/>
    </row>
    <row r="595" spans="1:10">
      <c r="A595" s="438"/>
      <c r="B595" s="441"/>
      <c r="C595" s="441"/>
      <c r="D595" s="441"/>
      <c r="E595" s="441"/>
      <c r="F595" s="441"/>
      <c r="G595" s="441"/>
      <c r="H595" s="441"/>
      <c r="I595" s="441"/>
      <c r="J595" s="441"/>
    </row>
    <row r="596" spans="1:10">
      <c r="A596" s="438"/>
      <c r="B596" s="441"/>
      <c r="C596" s="441"/>
      <c r="D596" s="441"/>
      <c r="E596" s="441"/>
      <c r="F596" s="441"/>
      <c r="G596" s="441"/>
      <c r="H596" s="441"/>
      <c r="I596" s="441"/>
      <c r="J596" s="441"/>
    </row>
    <row r="597" spans="1:10">
      <c r="A597" s="438"/>
      <c r="B597" s="441"/>
      <c r="C597" s="441"/>
      <c r="D597" s="441"/>
      <c r="E597" s="441"/>
      <c r="F597" s="441"/>
      <c r="G597" s="441"/>
      <c r="H597" s="441"/>
      <c r="I597" s="441"/>
      <c r="J597" s="441"/>
    </row>
    <row r="598" spans="1:10">
      <c r="A598" s="438"/>
      <c r="B598" s="441"/>
      <c r="C598" s="441"/>
      <c r="D598" s="441"/>
      <c r="E598" s="441"/>
      <c r="F598" s="441"/>
      <c r="G598" s="441"/>
      <c r="H598" s="441"/>
      <c r="I598" s="441"/>
      <c r="J598" s="441"/>
    </row>
    <row r="599" spans="1:10">
      <c r="A599" s="438"/>
      <c r="B599" s="441"/>
      <c r="C599" s="441"/>
      <c r="D599" s="441"/>
      <c r="E599" s="441"/>
      <c r="F599" s="441"/>
      <c r="G599" s="441"/>
      <c r="H599" s="441"/>
      <c r="I599" s="441"/>
      <c r="J599" s="441"/>
    </row>
    <row r="600" spans="1:10">
      <c r="A600" s="438"/>
      <c r="B600" s="441"/>
      <c r="C600" s="441"/>
      <c r="D600" s="441"/>
      <c r="E600" s="441"/>
      <c r="F600" s="441"/>
      <c r="G600" s="441"/>
      <c r="H600" s="441"/>
      <c r="I600" s="441"/>
      <c r="J600" s="441"/>
    </row>
    <row r="601" spans="1:10">
      <c r="A601" s="438"/>
      <c r="B601" s="441"/>
      <c r="C601" s="441"/>
      <c r="D601" s="441"/>
      <c r="E601" s="441"/>
      <c r="F601" s="441"/>
      <c r="G601" s="441"/>
      <c r="H601" s="441"/>
      <c r="I601" s="441"/>
      <c r="J601" s="441"/>
    </row>
    <row r="602" spans="1:10">
      <c r="A602" s="438"/>
      <c r="B602" s="441"/>
      <c r="C602" s="441"/>
      <c r="D602" s="441"/>
      <c r="E602" s="441"/>
      <c r="F602" s="441"/>
      <c r="G602" s="441"/>
      <c r="H602" s="441"/>
      <c r="I602" s="441"/>
      <c r="J602" s="441"/>
    </row>
    <row r="603" spans="1:10">
      <c r="A603" s="438"/>
      <c r="B603" s="441"/>
      <c r="C603" s="441"/>
      <c r="D603" s="441"/>
      <c r="E603" s="441"/>
      <c r="F603" s="441"/>
      <c r="G603" s="441"/>
      <c r="H603" s="441"/>
      <c r="I603" s="441"/>
      <c r="J603" s="441"/>
    </row>
    <row r="604" spans="1:10">
      <c r="A604" s="438"/>
      <c r="B604" s="441"/>
      <c r="C604" s="441"/>
      <c r="D604" s="441"/>
      <c r="E604" s="441"/>
      <c r="F604" s="441"/>
      <c r="G604" s="441"/>
      <c r="H604" s="441"/>
      <c r="I604" s="441"/>
      <c r="J604" s="441"/>
    </row>
    <row r="605" spans="1:10">
      <c r="A605" s="438"/>
      <c r="B605" s="441"/>
      <c r="C605" s="441"/>
      <c r="D605" s="441"/>
      <c r="E605" s="441"/>
      <c r="F605" s="441"/>
      <c r="G605" s="441"/>
      <c r="H605" s="441"/>
      <c r="I605" s="441"/>
      <c r="J605" s="441"/>
    </row>
    <row r="606" spans="1:10">
      <c r="A606" s="438"/>
      <c r="B606" s="441"/>
      <c r="C606" s="441"/>
      <c r="D606" s="441"/>
      <c r="E606" s="441"/>
      <c r="F606" s="441"/>
      <c r="G606" s="441"/>
      <c r="H606" s="441"/>
      <c r="I606" s="441"/>
      <c r="J606" s="441"/>
    </row>
    <row r="607" spans="1:10">
      <c r="A607" s="438"/>
      <c r="B607" s="441"/>
      <c r="C607" s="441"/>
      <c r="D607" s="441"/>
      <c r="E607" s="441"/>
      <c r="F607" s="441"/>
      <c r="G607" s="441"/>
      <c r="H607" s="441"/>
      <c r="I607" s="441"/>
      <c r="J607" s="441"/>
    </row>
    <row r="608" spans="1:10">
      <c r="A608" s="438"/>
      <c r="B608" s="441"/>
      <c r="C608" s="441"/>
      <c r="D608" s="441"/>
      <c r="E608" s="441"/>
      <c r="F608" s="441"/>
      <c r="G608" s="441"/>
      <c r="H608" s="441"/>
      <c r="I608" s="441"/>
      <c r="J608" s="441"/>
    </row>
    <row r="609" spans="1:10">
      <c r="A609" s="438"/>
      <c r="B609" s="441"/>
      <c r="C609" s="441"/>
      <c r="D609" s="441"/>
      <c r="E609" s="441"/>
      <c r="F609" s="441"/>
      <c r="G609" s="441"/>
      <c r="H609" s="441"/>
      <c r="I609" s="441"/>
      <c r="J609" s="441"/>
    </row>
    <row r="610" spans="1:10">
      <c r="A610" s="438"/>
      <c r="B610" s="441"/>
      <c r="C610" s="441"/>
      <c r="D610" s="441"/>
      <c r="E610" s="441"/>
      <c r="F610" s="441"/>
      <c r="G610" s="441"/>
      <c r="H610" s="441"/>
      <c r="I610" s="441"/>
      <c r="J610" s="441"/>
    </row>
    <row r="611" spans="1:10">
      <c r="A611" s="438"/>
      <c r="B611" s="441"/>
      <c r="C611" s="441"/>
      <c r="D611" s="441"/>
      <c r="E611" s="441"/>
      <c r="F611" s="441"/>
      <c r="G611" s="441"/>
      <c r="H611" s="441"/>
      <c r="I611" s="441"/>
      <c r="J611" s="441"/>
    </row>
    <row r="612" spans="1:10">
      <c r="A612" s="438"/>
      <c r="B612" s="441"/>
      <c r="C612" s="441"/>
      <c r="D612" s="441"/>
      <c r="E612" s="441"/>
      <c r="F612" s="441"/>
      <c r="G612" s="441"/>
      <c r="H612" s="441"/>
      <c r="I612" s="441"/>
      <c r="J612" s="441"/>
    </row>
    <row r="613" spans="1:10">
      <c r="A613" s="438"/>
      <c r="B613" s="441"/>
      <c r="C613" s="441"/>
      <c r="D613" s="441"/>
      <c r="E613" s="441"/>
      <c r="F613" s="441"/>
      <c r="G613" s="441"/>
      <c r="H613" s="441"/>
      <c r="I613" s="441"/>
      <c r="J613" s="441"/>
    </row>
    <row r="614" spans="1:10">
      <c r="A614" s="438"/>
      <c r="B614" s="441"/>
      <c r="C614" s="441"/>
      <c r="D614" s="441"/>
      <c r="E614" s="441"/>
      <c r="F614" s="441"/>
      <c r="G614" s="441"/>
      <c r="H614" s="441"/>
      <c r="I614" s="441"/>
      <c r="J614" s="441"/>
    </row>
    <row r="615" spans="1:10">
      <c r="A615" s="438"/>
      <c r="B615" s="441"/>
      <c r="C615" s="441"/>
      <c r="D615" s="441"/>
      <c r="E615" s="441"/>
      <c r="F615" s="441"/>
      <c r="G615" s="441"/>
      <c r="H615" s="441"/>
      <c r="I615" s="441"/>
      <c r="J615" s="441"/>
    </row>
    <row r="616" spans="1:10">
      <c r="A616" s="438"/>
      <c r="B616" s="441"/>
      <c r="C616" s="441"/>
      <c r="D616" s="441"/>
      <c r="E616" s="441"/>
      <c r="F616" s="441"/>
      <c r="G616" s="441"/>
      <c r="H616" s="441"/>
      <c r="I616" s="441"/>
      <c r="J616" s="441"/>
    </row>
    <row r="617" spans="1:10">
      <c r="A617" s="438"/>
      <c r="B617" s="441"/>
      <c r="C617" s="441"/>
      <c r="D617" s="441"/>
      <c r="E617" s="441"/>
      <c r="F617" s="441"/>
      <c r="G617" s="441"/>
      <c r="H617" s="441"/>
      <c r="I617" s="441"/>
      <c r="J617" s="441"/>
    </row>
    <row r="618" spans="1:10">
      <c r="A618" s="438"/>
      <c r="B618" s="441"/>
      <c r="C618" s="441"/>
      <c r="D618" s="441"/>
      <c r="E618" s="441"/>
      <c r="F618" s="441"/>
      <c r="G618" s="441"/>
      <c r="H618" s="441"/>
      <c r="I618" s="441"/>
      <c r="J618" s="441"/>
    </row>
    <row r="619" spans="1:10">
      <c r="A619" s="438"/>
      <c r="B619" s="441"/>
      <c r="C619" s="441"/>
      <c r="D619" s="441"/>
      <c r="E619" s="441"/>
      <c r="F619" s="441"/>
      <c r="G619" s="441"/>
      <c r="H619" s="441"/>
      <c r="I619" s="441"/>
      <c r="J619" s="441"/>
    </row>
    <row r="620" spans="1:10">
      <c r="A620" s="438"/>
      <c r="B620" s="441"/>
      <c r="C620" s="441"/>
      <c r="D620" s="441"/>
      <c r="E620" s="441"/>
      <c r="F620" s="441"/>
      <c r="G620" s="441"/>
      <c r="H620" s="441"/>
      <c r="I620" s="441"/>
      <c r="J620" s="441"/>
    </row>
    <row r="621" spans="1:10">
      <c r="A621" s="438"/>
      <c r="B621" s="441"/>
      <c r="C621" s="441"/>
      <c r="D621" s="441"/>
      <c r="E621" s="441"/>
      <c r="F621" s="441"/>
      <c r="G621" s="441"/>
      <c r="H621" s="441"/>
      <c r="I621" s="441"/>
      <c r="J621" s="441"/>
    </row>
    <row r="622" spans="1:10">
      <c r="A622" s="438"/>
      <c r="B622" s="441"/>
      <c r="C622" s="441"/>
      <c r="D622" s="441"/>
      <c r="E622" s="441"/>
      <c r="F622" s="441"/>
      <c r="G622" s="441"/>
      <c r="H622" s="441"/>
      <c r="I622" s="441"/>
      <c r="J622" s="441"/>
    </row>
    <row r="623" spans="1:10">
      <c r="A623" s="438"/>
      <c r="B623" s="441"/>
      <c r="C623" s="441"/>
      <c r="D623" s="441"/>
      <c r="E623" s="441"/>
      <c r="F623" s="441"/>
      <c r="G623" s="441"/>
      <c r="H623" s="441"/>
      <c r="I623" s="441"/>
      <c r="J623" s="441"/>
    </row>
    <row r="624" spans="1:10">
      <c r="A624" s="438"/>
      <c r="B624" s="441"/>
      <c r="C624" s="441"/>
      <c r="D624" s="441"/>
      <c r="E624" s="441"/>
      <c r="F624" s="441"/>
      <c r="G624" s="441"/>
      <c r="H624" s="441"/>
      <c r="I624" s="441"/>
      <c r="J624" s="441"/>
    </row>
    <row r="625" spans="1:10">
      <c r="A625" s="438"/>
      <c r="B625" s="441"/>
      <c r="C625" s="441"/>
      <c r="D625" s="441"/>
      <c r="E625" s="441"/>
      <c r="F625" s="441"/>
      <c r="G625" s="441"/>
      <c r="H625" s="441"/>
      <c r="I625" s="441"/>
      <c r="J625" s="441"/>
    </row>
    <row r="626" spans="1:10">
      <c r="A626" s="438"/>
      <c r="B626" s="441"/>
      <c r="C626" s="441"/>
      <c r="D626" s="441"/>
      <c r="E626" s="441"/>
      <c r="F626" s="441"/>
      <c r="G626" s="441"/>
      <c r="H626" s="441"/>
      <c r="I626" s="441"/>
      <c r="J626" s="441"/>
    </row>
    <row r="627" spans="1:10">
      <c r="A627" s="438"/>
      <c r="B627" s="441"/>
      <c r="C627" s="441"/>
      <c r="D627" s="441"/>
      <c r="E627" s="441"/>
      <c r="F627" s="441"/>
      <c r="G627" s="441"/>
      <c r="H627" s="441"/>
      <c r="I627" s="441"/>
      <c r="J627" s="441"/>
    </row>
    <row r="628" spans="1:10">
      <c r="A628" s="438"/>
      <c r="B628" s="441"/>
      <c r="C628" s="441"/>
      <c r="D628" s="441"/>
      <c r="E628" s="441"/>
      <c r="F628" s="441"/>
      <c r="G628" s="441"/>
      <c r="H628" s="441"/>
      <c r="I628" s="441"/>
      <c r="J628" s="441"/>
    </row>
    <row r="629" spans="1:10">
      <c r="A629" s="438"/>
      <c r="B629" s="441"/>
      <c r="C629" s="441"/>
      <c r="D629" s="441"/>
      <c r="E629" s="441"/>
      <c r="F629" s="441"/>
      <c r="G629" s="441"/>
      <c r="H629" s="441"/>
      <c r="I629" s="441"/>
      <c r="J629" s="441"/>
    </row>
    <row r="630" spans="1:10">
      <c r="A630" s="438"/>
      <c r="B630" s="441"/>
      <c r="C630" s="441"/>
      <c r="D630" s="441"/>
      <c r="E630" s="441"/>
      <c r="F630" s="441"/>
      <c r="G630" s="441"/>
      <c r="H630" s="441"/>
      <c r="I630" s="441"/>
      <c r="J630" s="441"/>
    </row>
    <row r="631" spans="1:10">
      <c r="A631" s="438"/>
      <c r="B631" s="441"/>
      <c r="C631" s="441"/>
      <c r="D631" s="441"/>
      <c r="E631" s="441"/>
      <c r="F631" s="441"/>
      <c r="G631" s="441"/>
      <c r="H631" s="441"/>
      <c r="I631" s="441"/>
      <c r="J631" s="441"/>
    </row>
    <row r="632" spans="1:10">
      <c r="A632" s="438"/>
      <c r="B632" s="441"/>
      <c r="C632" s="441"/>
      <c r="D632" s="441"/>
      <c r="E632" s="441"/>
      <c r="F632" s="441"/>
      <c r="G632" s="441"/>
      <c r="H632" s="441"/>
      <c r="I632" s="441"/>
      <c r="J632" s="441"/>
    </row>
    <row r="633" spans="1:10">
      <c r="A633" s="438"/>
      <c r="B633" s="441"/>
      <c r="C633" s="441"/>
      <c r="D633" s="441"/>
      <c r="E633" s="441"/>
      <c r="F633" s="441"/>
      <c r="G633" s="441"/>
      <c r="H633" s="441"/>
      <c r="I633" s="441"/>
      <c r="J633" s="441"/>
    </row>
    <row r="634" spans="1:10">
      <c r="A634" s="438"/>
      <c r="B634" s="441"/>
      <c r="C634" s="441"/>
      <c r="D634" s="441"/>
      <c r="E634" s="441"/>
      <c r="F634" s="441"/>
      <c r="G634" s="441"/>
      <c r="H634" s="441"/>
      <c r="I634" s="441"/>
      <c r="J634" s="441"/>
    </row>
    <row r="635" spans="1:10">
      <c r="A635" s="438"/>
      <c r="B635" s="441"/>
      <c r="C635" s="441"/>
      <c r="D635" s="441"/>
      <c r="E635" s="441"/>
      <c r="F635" s="441"/>
      <c r="G635" s="441"/>
      <c r="H635" s="441"/>
      <c r="I635" s="441"/>
      <c r="J635" s="441"/>
    </row>
    <row r="636" spans="1:10">
      <c r="A636" s="438"/>
      <c r="B636" s="441"/>
      <c r="C636" s="441"/>
      <c r="D636" s="441"/>
      <c r="E636" s="441"/>
      <c r="F636" s="441"/>
      <c r="G636" s="441"/>
      <c r="H636" s="441"/>
      <c r="I636" s="441"/>
      <c r="J636" s="441"/>
    </row>
    <row r="637" spans="1:10">
      <c r="A637" s="438"/>
      <c r="B637" s="441"/>
      <c r="C637" s="441"/>
      <c r="D637" s="441"/>
      <c r="E637" s="441"/>
      <c r="F637" s="441"/>
      <c r="G637" s="441"/>
      <c r="H637" s="441"/>
      <c r="I637" s="441"/>
      <c r="J637" s="441"/>
    </row>
    <row r="638" spans="1:10">
      <c r="A638" s="438"/>
      <c r="B638" s="441"/>
      <c r="C638" s="441"/>
      <c r="D638" s="441"/>
      <c r="E638" s="441"/>
      <c r="F638" s="441"/>
      <c r="G638" s="441"/>
      <c r="H638" s="441"/>
      <c r="I638" s="441"/>
      <c r="J638" s="441"/>
    </row>
    <row r="639" spans="1:10">
      <c r="A639" s="438"/>
      <c r="B639" s="441"/>
      <c r="C639" s="441"/>
      <c r="D639" s="441"/>
      <c r="E639" s="441"/>
      <c r="F639" s="441"/>
      <c r="G639" s="441"/>
      <c r="H639" s="441"/>
      <c r="I639" s="441"/>
      <c r="J639" s="441"/>
    </row>
    <row r="640" spans="1:10">
      <c r="A640" s="438"/>
      <c r="B640" s="441"/>
      <c r="C640" s="441"/>
      <c r="D640" s="441"/>
      <c r="E640" s="441"/>
      <c r="F640" s="441"/>
      <c r="G640" s="441"/>
      <c r="H640" s="441"/>
      <c r="I640" s="441"/>
      <c r="J640" s="441"/>
    </row>
    <row r="641" spans="1:10">
      <c r="A641" s="438"/>
      <c r="B641" s="441"/>
      <c r="C641" s="441"/>
      <c r="D641" s="441"/>
      <c r="E641" s="441"/>
      <c r="F641" s="441"/>
      <c r="G641" s="441"/>
      <c r="H641" s="441"/>
      <c r="I641" s="441"/>
      <c r="J641" s="441"/>
    </row>
    <row r="642" spans="1:10">
      <c r="A642" s="438"/>
      <c r="B642" s="441"/>
      <c r="C642" s="441"/>
      <c r="D642" s="441"/>
      <c r="E642" s="441"/>
      <c r="F642" s="441"/>
      <c r="G642" s="441"/>
      <c r="H642" s="441"/>
      <c r="I642" s="441"/>
      <c r="J642" s="441"/>
    </row>
    <row r="643" spans="1:10">
      <c r="A643" s="438"/>
      <c r="B643" s="441"/>
      <c r="C643" s="441"/>
      <c r="D643" s="441"/>
      <c r="E643" s="441"/>
      <c r="F643" s="441"/>
      <c r="G643" s="441"/>
      <c r="H643" s="441"/>
      <c r="I643" s="441"/>
      <c r="J643" s="441"/>
    </row>
    <row r="644" spans="1:10">
      <c r="A644" s="438"/>
      <c r="B644" s="441"/>
      <c r="C644" s="441"/>
      <c r="D644" s="441"/>
      <c r="E644" s="441"/>
      <c r="F644" s="441"/>
      <c r="G644" s="441"/>
      <c r="H644" s="441"/>
      <c r="I644" s="441"/>
      <c r="J644" s="441"/>
    </row>
    <row r="645" spans="1:10">
      <c r="A645" s="438"/>
      <c r="B645" s="441"/>
      <c r="C645" s="441"/>
      <c r="D645" s="441"/>
      <c r="E645" s="441"/>
      <c r="F645" s="441"/>
      <c r="G645" s="441"/>
      <c r="H645" s="441"/>
      <c r="I645" s="441"/>
      <c r="J645" s="441"/>
    </row>
    <row r="646" spans="1:10">
      <c r="A646" s="438"/>
      <c r="B646" s="441"/>
      <c r="C646" s="441"/>
      <c r="D646" s="441"/>
      <c r="E646" s="441"/>
      <c r="F646" s="441"/>
      <c r="G646" s="441"/>
      <c r="H646" s="441"/>
      <c r="I646" s="441"/>
      <c r="J646" s="441"/>
    </row>
    <row r="647" spans="1:10">
      <c r="A647" s="438"/>
      <c r="B647" s="441"/>
      <c r="C647" s="441"/>
      <c r="D647" s="441"/>
      <c r="E647" s="441"/>
      <c r="F647" s="441"/>
      <c r="G647" s="441"/>
      <c r="H647" s="441"/>
      <c r="I647" s="441"/>
      <c r="J647" s="441"/>
    </row>
    <row r="648" spans="1:10">
      <c r="A648" s="438"/>
      <c r="B648" s="441"/>
      <c r="C648" s="441"/>
      <c r="D648" s="441"/>
      <c r="E648" s="441"/>
      <c r="F648" s="441"/>
      <c r="G648" s="441"/>
      <c r="H648" s="441"/>
      <c r="I648" s="441"/>
      <c r="J648" s="441"/>
    </row>
    <row r="649" spans="1:10">
      <c r="A649" s="438"/>
      <c r="B649" s="441"/>
      <c r="C649" s="441"/>
      <c r="D649" s="441"/>
      <c r="E649" s="441"/>
      <c r="F649" s="441"/>
      <c r="G649" s="441"/>
      <c r="H649" s="441"/>
      <c r="I649" s="441"/>
      <c r="J649" s="441"/>
    </row>
    <row r="650" spans="1:10">
      <c r="A650" s="438"/>
      <c r="B650" s="441"/>
      <c r="C650" s="441"/>
      <c r="D650" s="441"/>
      <c r="E650" s="441"/>
      <c r="F650" s="441"/>
      <c r="G650" s="441"/>
      <c r="H650" s="441"/>
      <c r="I650" s="441"/>
      <c r="J650" s="441"/>
    </row>
    <row r="651" spans="1:10">
      <c r="A651" s="438"/>
      <c r="B651" s="441"/>
      <c r="C651" s="441"/>
      <c r="D651" s="441"/>
      <c r="E651" s="441"/>
      <c r="F651" s="441"/>
      <c r="G651" s="441"/>
      <c r="H651" s="441"/>
      <c r="I651" s="441"/>
      <c r="J651" s="441"/>
    </row>
    <row r="652" spans="1:10">
      <c r="A652" s="438"/>
      <c r="B652" s="441"/>
      <c r="C652" s="441"/>
      <c r="D652" s="441"/>
      <c r="E652" s="441"/>
      <c r="F652" s="441"/>
      <c r="G652" s="441"/>
      <c r="H652" s="441"/>
      <c r="I652" s="441"/>
      <c r="J652" s="441"/>
    </row>
    <row r="653" spans="1:10">
      <c r="A653" s="438"/>
      <c r="B653" s="441"/>
      <c r="C653" s="441"/>
      <c r="D653" s="441"/>
      <c r="E653" s="441"/>
      <c r="F653" s="441"/>
      <c r="G653" s="441"/>
      <c r="H653" s="441"/>
      <c r="I653" s="441"/>
      <c r="J653" s="441"/>
    </row>
    <row r="654" spans="1:10">
      <c r="A654" s="438"/>
      <c r="B654" s="441"/>
      <c r="C654" s="441"/>
      <c r="D654" s="441"/>
      <c r="E654" s="441"/>
      <c r="F654" s="441"/>
      <c r="G654" s="441"/>
      <c r="H654" s="441"/>
      <c r="I654" s="441"/>
      <c r="J654" s="441"/>
    </row>
    <row r="655" spans="1:10">
      <c r="A655" s="438"/>
      <c r="B655" s="441"/>
      <c r="C655" s="441"/>
      <c r="D655" s="441"/>
      <c r="E655" s="441"/>
      <c r="F655" s="441"/>
      <c r="G655" s="441"/>
      <c r="H655" s="441"/>
      <c r="I655" s="441"/>
      <c r="J655" s="441"/>
    </row>
    <row r="656" spans="1:10">
      <c r="A656" s="438"/>
      <c r="B656" s="441"/>
      <c r="C656" s="441"/>
      <c r="D656" s="441"/>
      <c r="E656" s="441"/>
      <c r="F656" s="441"/>
      <c r="G656" s="441"/>
      <c r="H656" s="441"/>
      <c r="I656" s="441"/>
      <c r="J656" s="441"/>
    </row>
    <row r="657" spans="1:10">
      <c r="A657" s="438"/>
      <c r="B657" s="441"/>
      <c r="C657" s="441"/>
      <c r="D657" s="441"/>
      <c r="E657" s="441"/>
      <c r="F657" s="441"/>
      <c r="G657" s="441"/>
      <c r="H657" s="441"/>
      <c r="I657" s="441"/>
      <c r="J657" s="441"/>
    </row>
    <row r="658" spans="1:10">
      <c r="A658" s="438"/>
      <c r="B658" s="441"/>
      <c r="C658" s="441"/>
      <c r="D658" s="441"/>
      <c r="E658" s="441"/>
      <c r="F658" s="441"/>
      <c r="G658" s="441"/>
      <c r="H658" s="441"/>
      <c r="I658" s="441"/>
      <c r="J658" s="441"/>
    </row>
    <row r="659" spans="1:10">
      <c r="A659" s="438"/>
      <c r="B659" s="441"/>
      <c r="C659" s="441"/>
      <c r="D659" s="441"/>
      <c r="E659" s="441"/>
      <c r="F659" s="441"/>
      <c r="G659" s="441"/>
      <c r="H659" s="441"/>
      <c r="I659" s="441"/>
      <c r="J659" s="441"/>
    </row>
    <row r="660" spans="1:10">
      <c r="A660" s="438"/>
      <c r="B660" s="441"/>
      <c r="C660" s="441"/>
      <c r="D660" s="441"/>
      <c r="E660" s="441"/>
      <c r="F660" s="441"/>
      <c r="G660" s="441"/>
      <c r="H660" s="441"/>
      <c r="I660" s="441"/>
      <c r="J660" s="441"/>
    </row>
    <row r="661" spans="1:10">
      <c r="A661" s="438"/>
      <c r="B661" s="441"/>
      <c r="C661" s="441"/>
      <c r="D661" s="441"/>
      <c r="E661" s="441"/>
      <c r="F661" s="441"/>
      <c r="G661" s="441"/>
      <c r="H661" s="441"/>
      <c r="I661" s="441"/>
      <c r="J661" s="441"/>
    </row>
    <row r="662" spans="1:10">
      <c r="A662" s="438"/>
      <c r="B662" s="441"/>
      <c r="C662" s="441"/>
      <c r="D662" s="441"/>
      <c r="E662" s="441"/>
      <c r="F662" s="441"/>
      <c r="G662" s="441"/>
      <c r="H662" s="441"/>
      <c r="I662" s="441"/>
      <c r="J662" s="441"/>
    </row>
    <row r="663" spans="1:10">
      <c r="A663" s="438"/>
      <c r="B663" s="441"/>
      <c r="C663" s="441"/>
      <c r="D663" s="441"/>
      <c r="E663" s="441"/>
      <c r="F663" s="441"/>
      <c r="G663" s="441"/>
      <c r="H663" s="441"/>
      <c r="I663" s="441"/>
      <c r="J663" s="441"/>
    </row>
    <row r="664" spans="1:10">
      <c r="A664" s="438"/>
      <c r="B664" s="441"/>
      <c r="C664" s="441"/>
      <c r="D664" s="441"/>
      <c r="E664" s="441"/>
      <c r="F664" s="441"/>
      <c r="G664" s="441"/>
      <c r="H664" s="441"/>
      <c r="I664" s="441"/>
      <c r="J664" s="441"/>
    </row>
    <row r="665" spans="1:10">
      <c r="A665" s="438"/>
      <c r="B665" s="441"/>
      <c r="C665" s="441"/>
      <c r="D665" s="441"/>
      <c r="E665" s="441"/>
      <c r="F665" s="441"/>
      <c r="G665" s="441"/>
      <c r="H665" s="441"/>
      <c r="I665" s="441"/>
      <c r="J665" s="441"/>
    </row>
    <row r="666" spans="1:10">
      <c r="A666" s="438"/>
      <c r="B666" s="441"/>
      <c r="C666" s="441"/>
      <c r="D666" s="441"/>
      <c r="E666" s="441"/>
      <c r="F666" s="441"/>
      <c r="G666" s="441"/>
      <c r="H666" s="441"/>
      <c r="I666" s="441"/>
      <c r="J666" s="441"/>
    </row>
    <row r="667" spans="1:10">
      <c r="A667" s="438"/>
      <c r="B667" s="441"/>
      <c r="C667" s="441"/>
      <c r="D667" s="441"/>
      <c r="E667" s="441"/>
      <c r="F667" s="441"/>
      <c r="G667" s="441"/>
      <c r="H667" s="441"/>
      <c r="I667" s="441"/>
      <c r="J667" s="441"/>
    </row>
    <row r="668" spans="1:10">
      <c r="A668" s="438"/>
      <c r="B668" s="441"/>
      <c r="C668" s="441"/>
      <c r="D668" s="441"/>
      <c r="E668" s="441"/>
      <c r="F668" s="441"/>
      <c r="G668" s="441"/>
      <c r="H668" s="441"/>
      <c r="I668" s="441"/>
      <c r="J668" s="441"/>
    </row>
    <row r="669" spans="1:10">
      <c r="A669" s="438"/>
      <c r="B669" s="441"/>
      <c r="C669" s="441"/>
      <c r="D669" s="441"/>
      <c r="E669" s="441"/>
      <c r="F669" s="441"/>
      <c r="G669" s="441"/>
      <c r="H669" s="441"/>
      <c r="I669" s="441"/>
      <c r="J669" s="441"/>
    </row>
    <row r="670" spans="1:10">
      <c r="A670" s="438"/>
      <c r="B670" s="441"/>
      <c r="C670" s="441"/>
      <c r="D670" s="441"/>
      <c r="E670" s="441"/>
      <c r="F670" s="441"/>
      <c r="G670" s="441"/>
      <c r="H670" s="441"/>
      <c r="I670" s="441"/>
      <c r="J670" s="441"/>
    </row>
    <row r="671" spans="1:10">
      <c r="A671" s="438"/>
      <c r="B671" s="441"/>
      <c r="C671" s="441"/>
      <c r="D671" s="441"/>
      <c r="E671" s="441"/>
      <c r="F671" s="441"/>
      <c r="G671" s="441"/>
      <c r="H671" s="441"/>
      <c r="I671" s="441"/>
      <c r="J671" s="441"/>
    </row>
    <row r="672" spans="1:10">
      <c r="A672" s="438"/>
      <c r="B672" s="441"/>
      <c r="C672" s="441"/>
      <c r="D672" s="441"/>
      <c r="E672" s="441"/>
      <c r="F672" s="441"/>
      <c r="G672" s="441"/>
      <c r="H672" s="441"/>
      <c r="I672" s="441"/>
      <c r="J672" s="441"/>
    </row>
    <row r="673" spans="1:10">
      <c r="A673" s="438"/>
      <c r="B673" s="441"/>
      <c r="C673" s="441"/>
      <c r="D673" s="441"/>
      <c r="E673" s="441"/>
      <c r="F673" s="441"/>
      <c r="G673" s="441"/>
      <c r="H673" s="441"/>
      <c r="I673" s="441"/>
      <c r="J673" s="441"/>
    </row>
    <row r="674" spans="1:10">
      <c r="A674" s="438"/>
      <c r="B674" s="441"/>
      <c r="C674" s="441"/>
      <c r="D674" s="441"/>
      <c r="E674" s="441"/>
      <c r="F674" s="441"/>
      <c r="G674" s="441"/>
      <c r="H674" s="441"/>
      <c r="I674" s="441"/>
      <c r="J674" s="441"/>
    </row>
    <row r="675" spans="1:10">
      <c r="A675" s="438"/>
      <c r="B675" s="441"/>
      <c r="C675" s="441"/>
      <c r="D675" s="441"/>
      <c r="E675" s="441"/>
      <c r="F675" s="441"/>
      <c r="G675" s="441"/>
      <c r="H675" s="441"/>
      <c r="I675" s="441"/>
      <c r="J675" s="441"/>
    </row>
    <row r="676" spans="1:10">
      <c r="A676" s="438"/>
      <c r="B676" s="441"/>
      <c r="C676" s="441"/>
      <c r="D676" s="441"/>
      <c r="E676" s="441"/>
      <c r="F676" s="441"/>
      <c r="G676" s="441"/>
      <c r="H676" s="441"/>
      <c r="I676" s="441"/>
      <c r="J676" s="441"/>
    </row>
    <row r="677" spans="1:10">
      <c r="A677" s="438"/>
      <c r="B677" s="441"/>
      <c r="C677" s="441"/>
      <c r="D677" s="441"/>
      <c r="E677" s="441"/>
      <c r="F677" s="441"/>
      <c r="G677" s="441"/>
      <c r="H677" s="441"/>
      <c r="I677" s="441"/>
      <c r="J677" s="441"/>
    </row>
    <row r="678" spans="1:10">
      <c r="A678" s="438"/>
      <c r="B678" s="441"/>
      <c r="C678" s="441"/>
      <c r="D678" s="441"/>
      <c r="E678" s="441"/>
      <c r="F678" s="441"/>
      <c r="G678" s="441"/>
      <c r="H678" s="441"/>
      <c r="I678" s="441"/>
      <c r="J678" s="441"/>
    </row>
    <row r="679" spans="1:10">
      <c r="A679" s="438"/>
      <c r="B679" s="441"/>
      <c r="C679" s="441"/>
      <c r="D679" s="441"/>
      <c r="E679" s="441"/>
      <c r="F679" s="441"/>
      <c r="G679" s="441"/>
      <c r="H679" s="441"/>
      <c r="I679" s="441"/>
      <c r="J679" s="441"/>
    </row>
    <row r="680" spans="1:10">
      <c r="A680" s="438"/>
      <c r="B680" s="441"/>
      <c r="C680" s="441"/>
      <c r="D680" s="441"/>
      <c r="E680" s="441"/>
      <c r="F680" s="441"/>
      <c r="G680" s="441"/>
      <c r="H680" s="441"/>
      <c r="I680" s="441"/>
      <c r="J680" s="441"/>
    </row>
    <row r="681" spans="1:10">
      <c r="A681" s="438"/>
      <c r="B681" s="441"/>
      <c r="C681" s="441"/>
      <c r="D681" s="441"/>
      <c r="E681" s="441"/>
      <c r="F681" s="441"/>
      <c r="G681" s="441"/>
      <c r="H681" s="441"/>
      <c r="I681" s="441"/>
      <c r="J681" s="441"/>
    </row>
    <row r="682" spans="1:10">
      <c r="A682" s="438"/>
      <c r="B682" s="441"/>
      <c r="C682" s="441"/>
      <c r="D682" s="441"/>
      <c r="E682" s="441"/>
      <c r="F682" s="441"/>
      <c r="G682" s="441"/>
      <c r="H682" s="441"/>
      <c r="I682" s="441"/>
      <c r="J682" s="441"/>
    </row>
    <row r="683" spans="1:10">
      <c r="A683" s="438"/>
      <c r="B683" s="441"/>
      <c r="C683" s="441"/>
      <c r="D683" s="441"/>
      <c r="E683" s="441"/>
      <c r="F683" s="441"/>
      <c r="G683" s="441"/>
      <c r="H683" s="441"/>
      <c r="I683" s="441"/>
      <c r="J683" s="441"/>
    </row>
    <row r="684" spans="1:10">
      <c r="A684" s="438"/>
      <c r="B684" s="441"/>
      <c r="C684" s="441"/>
      <c r="D684" s="441"/>
      <c r="E684" s="441"/>
      <c r="F684" s="441"/>
      <c r="G684" s="441"/>
      <c r="H684" s="441"/>
      <c r="I684" s="441"/>
      <c r="J684" s="441"/>
    </row>
    <row r="685" spans="1:10">
      <c r="A685" s="438"/>
      <c r="B685" s="441"/>
      <c r="C685" s="441"/>
      <c r="D685" s="441"/>
      <c r="E685" s="441"/>
      <c r="F685" s="441"/>
      <c r="G685" s="441"/>
      <c r="H685" s="441"/>
      <c r="I685" s="441"/>
      <c r="J685" s="441"/>
    </row>
    <row r="686" spans="1:10">
      <c r="A686" s="438"/>
      <c r="B686" s="441"/>
      <c r="C686" s="441"/>
      <c r="D686" s="441"/>
      <c r="E686" s="441"/>
      <c r="F686" s="441"/>
      <c r="G686" s="441"/>
      <c r="H686" s="441"/>
      <c r="I686" s="441"/>
      <c r="J686" s="441"/>
    </row>
    <row r="687" spans="1:10">
      <c r="A687" s="438"/>
      <c r="B687" s="441"/>
      <c r="C687" s="441"/>
      <c r="D687" s="441"/>
      <c r="E687" s="441"/>
      <c r="F687" s="441"/>
      <c r="G687" s="441"/>
      <c r="H687" s="441"/>
      <c r="I687" s="441"/>
      <c r="J687" s="441"/>
    </row>
    <row r="688" spans="1:10">
      <c r="A688" s="438"/>
      <c r="B688" s="441"/>
      <c r="C688" s="441"/>
      <c r="D688" s="441"/>
      <c r="E688" s="441"/>
      <c r="F688" s="441"/>
      <c r="G688" s="441"/>
      <c r="H688" s="441"/>
      <c r="I688" s="441"/>
      <c r="J688" s="441"/>
    </row>
    <row r="689" spans="1:10">
      <c r="A689" s="438"/>
      <c r="B689" s="441"/>
      <c r="C689" s="441"/>
      <c r="D689" s="441"/>
      <c r="E689" s="441"/>
      <c r="F689" s="441"/>
      <c r="G689" s="441"/>
      <c r="H689" s="441"/>
      <c r="I689" s="441"/>
      <c r="J689" s="441"/>
    </row>
    <row r="690" spans="1:10">
      <c r="A690" s="438"/>
      <c r="B690" s="441"/>
      <c r="C690" s="441"/>
      <c r="D690" s="441"/>
      <c r="E690" s="441"/>
      <c r="F690" s="441"/>
      <c r="G690" s="441"/>
      <c r="H690" s="441"/>
      <c r="I690" s="441"/>
      <c r="J690" s="441"/>
    </row>
    <row r="691" spans="1:10">
      <c r="A691" s="438"/>
      <c r="B691" s="441"/>
      <c r="C691" s="441"/>
      <c r="D691" s="441"/>
      <c r="E691" s="441"/>
      <c r="F691" s="441"/>
      <c r="G691" s="441"/>
      <c r="H691" s="441"/>
      <c r="I691" s="441"/>
      <c r="J691" s="441"/>
    </row>
    <row r="692" spans="1:10">
      <c r="A692" s="438"/>
      <c r="B692" s="441"/>
      <c r="C692" s="441"/>
      <c r="D692" s="441"/>
      <c r="E692" s="441"/>
      <c r="F692" s="441"/>
      <c r="G692" s="441"/>
      <c r="H692" s="441"/>
      <c r="I692" s="441"/>
      <c r="J692" s="441"/>
    </row>
    <row r="693" spans="1:10">
      <c r="A693" s="438"/>
      <c r="B693" s="441"/>
      <c r="C693" s="441"/>
      <c r="D693" s="441"/>
      <c r="E693" s="441"/>
      <c r="F693" s="441"/>
      <c r="G693" s="441"/>
      <c r="H693" s="441"/>
      <c r="I693" s="441"/>
      <c r="J693" s="441"/>
    </row>
    <row r="694" spans="1:10">
      <c r="A694" s="438"/>
      <c r="B694" s="441"/>
      <c r="C694" s="441"/>
      <c r="D694" s="441"/>
      <c r="E694" s="441"/>
      <c r="F694" s="441"/>
      <c r="G694" s="441"/>
      <c r="H694" s="441"/>
      <c r="I694" s="441"/>
      <c r="J694" s="441"/>
    </row>
    <row r="695" spans="1:10">
      <c r="A695" s="438"/>
      <c r="B695" s="441"/>
      <c r="C695" s="441"/>
      <c r="D695" s="441"/>
      <c r="E695" s="441"/>
      <c r="F695" s="441"/>
      <c r="G695" s="441"/>
      <c r="H695" s="441"/>
      <c r="I695" s="441"/>
      <c r="J695" s="441"/>
    </row>
    <row r="696" spans="1:10">
      <c r="A696" s="438"/>
      <c r="B696" s="441"/>
      <c r="C696" s="441"/>
      <c r="D696" s="441"/>
      <c r="E696" s="441"/>
      <c r="F696" s="441"/>
      <c r="G696" s="441"/>
      <c r="H696" s="441"/>
      <c r="I696" s="441"/>
      <c r="J696" s="441"/>
    </row>
    <row r="697" spans="1:10">
      <c r="A697" s="438"/>
      <c r="B697" s="441"/>
      <c r="C697" s="441"/>
      <c r="D697" s="441"/>
      <c r="E697" s="441"/>
      <c r="F697" s="441"/>
      <c r="G697" s="441"/>
      <c r="H697" s="441"/>
      <c r="I697" s="441"/>
      <c r="J697" s="441"/>
    </row>
    <row r="698" spans="1:10">
      <c r="A698" s="438"/>
      <c r="B698" s="441"/>
      <c r="C698" s="441"/>
      <c r="D698" s="441"/>
      <c r="E698" s="441"/>
      <c r="F698" s="441"/>
      <c r="G698" s="441"/>
      <c r="H698" s="441"/>
      <c r="I698" s="441"/>
      <c r="J698" s="441"/>
    </row>
    <row r="699" spans="1:10">
      <c r="A699" s="438"/>
      <c r="B699" s="441"/>
      <c r="C699" s="441"/>
      <c r="D699" s="441"/>
      <c r="E699" s="441"/>
      <c r="F699" s="441"/>
      <c r="G699" s="441"/>
      <c r="H699" s="441"/>
      <c r="I699" s="441"/>
      <c r="J699" s="441"/>
    </row>
    <row r="700" spans="1:10">
      <c r="A700" s="438"/>
      <c r="B700" s="441"/>
      <c r="C700" s="441"/>
      <c r="D700" s="441"/>
      <c r="E700" s="441"/>
      <c r="F700" s="441"/>
      <c r="G700" s="441"/>
      <c r="H700" s="441"/>
      <c r="I700" s="441"/>
      <c r="J700" s="441"/>
    </row>
    <row r="701" spans="1:10">
      <c r="A701" s="438"/>
      <c r="B701" s="441"/>
      <c r="C701" s="441"/>
      <c r="D701" s="441"/>
      <c r="E701" s="441"/>
      <c r="F701" s="441"/>
      <c r="G701" s="441"/>
      <c r="H701" s="441"/>
      <c r="I701" s="441"/>
      <c r="J701" s="441"/>
    </row>
    <row r="702" spans="1:10">
      <c r="A702" s="438"/>
      <c r="B702" s="441"/>
      <c r="C702" s="441"/>
      <c r="D702" s="441"/>
      <c r="E702" s="441"/>
      <c r="F702" s="441"/>
      <c r="G702" s="441"/>
      <c r="H702" s="441"/>
      <c r="I702" s="441"/>
      <c r="J702" s="441"/>
    </row>
    <row r="703" spans="1:10">
      <c r="A703" s="438"/>
      <c r="B703" s="441"/>
      <c r="C703" s="441"/>
      <c r="D703" s="441"/>
      <c r="E703" s="441"/>
      <c r="F703" s="441"/>
      <c r="G703" s="441"/>
      <c r="H703" s="441"/>
      <c r="I703" s="441"/>
      <c r="J703" s="441"/>
    </row>
    <row r="704" spans="1:10">
      <c r="A704" s="438"/>
      <c r="B704" s="441"/>
      <c r="C704" s="441"/>
      <c r="D704" s="441"/>
      <c r="E704" s="441"/>
      <c r="F704" s="441"/>
      <c r="G704" s="441"/>
      <c r="H704" s="441"/>
      <c r="I704" s="441"/>
      <c r="J704" s="441"/>
    </row>
    <row r="705" spans="1:10">
      <c r="A705" s="438"/>
      <c r="B705" s="441"/>
      <c r="C705" s="441"/>
      <c r="D705" s="441"/>
      <c r="E705" s="441"/>
      <c r="F705" s="441"/>
      <c r="G705" s="441"/>
      <c r="H705" s="441"/>
      <c r="I705" s="441"/>
      <c r="J705" s="441"/>
    </row>
    <row r="706" spans="1:10">
      <c r="A706" s="438"/>
      <c r="B706" s="441"/>
      <c r="C706" s="441"/>
      <c r="D706" s="441"/>
      <c r="E706" s="441"/>
      <c r="F706" s="441"/>
      <c r="G706" s="441"/>
      <c r="H706" s="441"/>
      <c r="I706" s="441"/>
      <c r="J706" s="441"/>
    </row>
    <row r="707" spans="1:10">
      <c r="A707" s="438"/>
      <c r="B707" s="441"/>
      <c r="C707" s="441"/>
      <c r="D707" s="441"/>
      <c r="E707" s="441"/>
      <c r="F707" s="441"/>
      <c r="G707" s="441"/>
      <c r="H707" s="441"/>
      <c r="I707" s="441"/>
      <c r="J707" s="441"/>
    </row>
    <row r="708" spans="1:10">
      <c r="A708" s="438"/>
      <c r="B708" s="441"/>
      <c r="C708" s="441"/>
      <c r="D708" s="441"/>
      <c r="E708" s="441"/>
      <c r="F708" s="441"/>
      <c r="G708" s="441"/>
      <c r="H708" s="441"/>
      <c r="I708" s="441"/>
      <c r="J708" s="441"/>
    </row>
    <row r="709" spans="1:10">
      <c r="A709" s="438"/>
      <c r="B709" s="441"/>
      <c r="C709" s="441"/>
      <c r="D709" s="441"/>
      <c r="E709" s="441"/>
      <c r="F709" s="441"/>
      <c r="G709" s="441"/>
      <c r="H709" s="441"/>
      <c r="I709" s="441"/>
      <c r="J709" s="441"/>
    </row>
    <row r="710" spans="1:10">
      <c r="A710" s="438"/>
      <c r="B710" s="441"/>
      <c r="C710" s="441"/>
      <c r="D710" s="441"/>
      <c r="E710" s="441"/>
      <c r="F710" s="441"/>
      <c r="G710" s="441"/>
      <c r="H710" s="441"/>
      <c r="I710" s="441"/>
      <c r="J710" s="441"/>
    </row>
    <row r="711" spans="1:10">
      <c r="A711" s="438"/>
      <c r="B711" s="441"/>
      <c r="C711" s="441"/>
      <c r="D711" s="441"/>
      <c r="E711" s="441"/>
      <c r="F711" s="441"/>
      <c r="G711" s="441"/>
      <c r="H711" s="441"/>
      <c r="I711" s="441"/>
      <c r="J711" s="441"/>
    </row>
    <row r="712" spans="1:10">
      <c r="A712" s="438"/>
      <c r="B712" s="441"/>
      <c r="C712" s="441"/>
      <c r="D712" s="441"/>
      <c r="E712" s="441"/>
      <c r="F712" s="441"/>
      <c r="G712" s="441"/>
      <c r="H712" s="441"/>
      <c r="I712" s="441"/>
      <c r="J712" s="441"/>
    </row>
    <row r="713" spans="1:10">
      <c r="A713" s="438"/>
      <c r="B713" s="441"/>
      <c r="C713" s="441"/>
      <c r="D713" s="441"/>
      <c r="E713" s="441"/>
      <c r="F713" s="441"/>
      <c r="G713" s="441"/>
      <c r="H713" s="441"/>
      <c r="I713" s="441"/>
      <c r="J713" s="441"/>
    </row>
    <row r="714" spans="1:10">
      <c r="A714" s="438"/>
      <c r="B714" s="441"/>
      <c r="C714" s="441"/>
      <c r="D714" s="441"/>
      <c r="E714" s="441"/>
      <c r="F714" s="441"/>
      <c r="G714" s="441"/>
      <c r="H714" s="441"/>
      <c r="I714" s="441"/>
      <c r="J714" s="441"/>
    </row>
    <row r="715" spans="1:10">
      <c r="A715" s="438"/>
      <c r="B715" s="441"/>
      <c r="C715" s="441"/>
      <c r="D715" s="441"/>
      <c r="E715" s="441"/>
      <c r="F715" s="441"/>
      <c r="G715" s="441"/>
      <c r="H715" s="441"/>
      <c r="I715" s="441"/>
      <c r="J715" s="441"/>
    </row>
    <row r="716" spans="1:10">
      <c r="A716" s="438"/>
      <c r="B716" s="441"/>
      <c r="C716" s="441"/>
      <c r="D716" s="441"/>
      <c r="E716" s="442"/>
      <c r="F716" s="441"/>
      <c r="G716" s="441"/>
      <c r="H716" s="441"/>
      <c r="I716" s="441"/>
      <c r="J716" s="441"/>
    </row>
    <row r="717" spans="1:10">
      <c r="A717" s="438"/>
      <c r="B717" s="441"/>
      <c r="C717" s="441"/>
      <c r="D717" s="441"/>
      <c r="E717" s="442"/>
      <c r="F717" s="441"/>
      <c r="G717" s="441"/>
      <c r="H717" s="441"/>
      <c r="I717" s="441"/>
      <c r="J717" s="441"/>
    </row>
    <row r="718" spans="1:10">
      <c r="A718" s="438"/>
      <c r="B718" s="441"/>
      <c r="C718" s="441"/>
      <c r="D718" s="441"/>
      <c r="E718" s="442"/>
      <c r="F718" s="441"/>
      <c r="G718" s="441"/>
      <c r="H718" s="441"/>
      <c r="I718" s="441"/>
      <c r="J718" s="441"/>
    </row>
    <row r="719" spans="1:10">
      <c r="A719" s="438"/>
      <c r="B719" s="441"/>
      <c r="C719" s="441"/>
      <c r="D719" s="441"/>
      <c r="E719" s="442"/>
      <c r="F719" s="441"/>
      <c r="G719" s="441"/>
      <c r="H719" s="441"/>
      <c r="I719" s="441"/>
      <c r="J719" s="441"/>
    </row>
    <row r="720" spans="1:10">
      <c r="A720" s="438"/>
      <c r="B720" s="441"/>
      <c r="C720" s="441"/>
      <c r="D720" s="441"/>
      <c r="E720" s="442"/>
      <c r="F720" s="441"/>
      <c r="G720" s="441"/>
      <c r="H720" s="441"/>
      <c r="I720" s="441"/>
      <c r="J720" s="441"/>
    </row>
    <row r="721" spans="1:10">
      <c r="A721" s="438"/>
      <c r="B721" s="441"/>
      <c r="C721" s="441"/>
      <c r="D721" s="441"/>
      <c r="E721" s="442"/>
      <c r="F721" s="441"/>
      <c r="G721" s="441"/>
      <c r="H721" s="441"/>
      <c r="I721" s="441"/>
      <c r="J721" s="441"/>
    </row>
    <row r="722" spans="1:10">
      <c r="A722" s="438"/>
      <c r="B722" s="441"/>
      <c r="C722" s="441"/>
      <c r="D722" s="441"/>
      <c r="E722" s="442"/>
      <c r="F722" s="441"/>
      <c r="G722" s="441"/>
      <c r="H722" s="441"/>
      <c r="I722" s="441"/>
      <c r="J722" s="441"/>
    </row>
    <row r="723" spans="1:10">
      <c r="A723" s="438"/>
      <c r="B723" s="441"/>
      <c r="C723" s="441"/>
      <c r="D723" s="441"/>
      <c r="E723" s="442"/>
      <c r="F723" s="441"/>
      <c r="G723" s="441"/>
      <c r="H723" s="441"/>
      <c r="I723" s="441"/>
      <c r="J723" s="441"/>
    </row>
    <row r="724" spans="1:10">
      <c r="A724" s="438"/>
      <c r="B724" s="441"/>
      <c r="C724" s="441"/>
      <c r="D724" s="441"/>
      <c r="E724" s="442"/>
      <c r="F724" s="441"/>
      <c r="G724" s="441"/>
      <c r="H724" s="441"/>
      <c r="I724" s="441"/>
      <c r="J724" s="441"/>
    </row>
    <row r="725" spans="1:10">
      <c r="A725" s="438"/>
      <c r="B725" s="441"/>
      <c r="C725" s="441"/>
      <c r="D725" s="441"/>
      <c r="E725" s="442"/>
      <c r="F725" s="441"/>
      <c r="G725" s="441"/>
      <c r="H725" s="441"/>
      <c r="I725" s="441"/>
      <c r="J725" s="441"/>
    </row>
    <row r="726" spans="1:10">
      <c r="A726" s="438"/>
      <c r="B726" s="441"/>
      <c r="C726" s="441"/>
      <c r="D726" s="441"/>
      <c r="E726" s="442"/>
      <c r="F726" s="441"/>
      <c r="G726" s="441"/>
      <c r="H726" s="441"/>
      <c r="I726" s="441"/>
      <c r="J726" s="441"/>
    </row>
    <row r="727" spans="1:10">
      <c r="A727" s="438"/>
      <c r="B727" s="441"/>
      <c r="C727" s="441"/>
      <c r="D727" s="441"/>
      <c r="E727" s="442"/>
      <c r="F727" s="441"/>
      <c r="G727" s="441"/>
      <c r="H727" s="441"/>
      <c r="I727" s="441"/>
      <c r="J727" s="441"/>
    </row>
    <row r="728" spans="1:10">
      <c r="A728" s="438"/>
      <c r="B728" s="441"/>
      <c r="C728" s="441"/>
      <c r="D728" s="441"/>
      <c r="E728" s="442"/>
      <c r="F728" s="441"/>
      <c r="G728" s="441"/>
      <c r="H728" s="441"/>
      <c r="I728" s="441"/>
      <c r="J728" s="441"/>
    </row>
    <row r="729" spans="1:10">
      <c r="A729" s="438"/>
      <c r="B729" s="441"/>
      <c r="C729" s="441"/>
      <c r="D729" s="441"/>
      <c r="E729" s="442"/>
      <c r="F729" s="441"/>
      <c r="G729" s="441"/>
      <c r="H729" s="441"/>
      <c r="I729" s="441"/>
      <c r="J729" s="441"/>
    </row>
    <row r="730" spans="1:10">
      <c r="A730" s="438"/>
      <c r="B730" s="441"/>
      <c r="C730" s="441"/>
      <c r="D730" s="441"/>
      <c r="E730" s="442"/>
      <c r="F730" s="441"/>
      <c r="G730" s="441"/>
      <c r="H730" s="441"/>
      <c r="I730" s="441"/>
      <c r="J730" s="441"/>
    </row>
    <row r="731" spans="1:10">
      <c r="A731" s="438"/>
      <c r="B731" s="441"/>
      <c r="C731" s="441"/>
      <c r="D731" s="441"/>
      <c r="E731" s="442"/>
      <c r="F731" s="441"/>
      <c r="G731" s="441"/>
      <c r="H731" s="441"/>
      <c r="I731" s="441"/>
      <c r="J731" s="441"/>
    </row>
    <row r="732" spans="1:10">
      <c r="A732" s="438"/>
      <c r="B732" s="441"/>
      <c r="C732" s="441"/>
      <c r="D732" s="441"/>
      <c r="E732" s="442"/>
      <c r="F732" s="441"/>
      <c r="G732" s="441"/>
      <c r="H732" s="441"/>
      <c r="I732" s="441"/>
      <c r="J732" s="441"/>
    </row>
    <row r="733" spans="1:10">
      <c r="A733" s="438"/>
      <c r="B733" s="441"/>
      <c r="C733" s="441"/>
      <c r="D733" s="441"/>
      <c r="E733" s="442"/>
      <c r="F733" s="441"/>
      <c r="G733" s="441"/>
      <c r="H733" s="441"/>
      <c r="I733" s="441"/>
      <c r="J733" s="441"/>
    </row>
    <row r="734" spans="1:10">
      <c r="A734" s="438"/>
      <c r="B734" s="441"/>
      <c r="C734" s="441"/>
      <c r="D734" s="441"/>
      <c r="E734" s="442"/>
      <c r="F734" s="441"/>
      <c r="G734" s="441"/>
      <c r="H734" s="441"/>
      <c r="I734" s="441"/>
      <c r="J734" s="441"/>
    </row>
    <row r="735" spans="1:10">
      <c r="A735" s="438"/>
      <c r="B735" s="441"/>
      <c r="C735" s="441"/>
      <c r="D735" s="441"/>
      <c r="E735" s="442"/>
      <c r="F735" s="441"/>
      <c r="G735" s="441"/>
      <c r="H735" s="441"/>
      <c r="I735" s="441"/>
      <c r="J735" s="441"/>
    </row>
    <row r="736" spans="1:10">
      <c r="A736" s="438"/>
      <c r="B736" s="441"/>
      <c r="C736" s="441"/>
      <c r="D736" s="441"/>
      <c r="E736" s="442"/>
      <c r="F736" s="441"/>
      <c r="G736" s="441"/>
      <c r="H736" s="441"/>
      <c r="I736" s="441"/>
      <c r="J736" s="441"/>
    </row>
    <row r="737" spans="1:10">
      <c r="A737" s="438"/>
      <c r="B737" s="441"/>
      <c r="C737" s="441"/>
      <c r="D737" s="441"/>
      <c r="E737" s="442"/>
      <c r="F737" s="441"/>
      <c r="G737" s="441"/>
      <c r="H737" s="441"/>
      <c r="I737" s="441"/>
      <c r="J737" s="441"/>
    </row>
    <row r="738" spans="1:10">
      <c r="A738" s="438"/>
      <c r="B738" s="441"/>
      <c r="C738" s="441"/>
      <c r="D738" s="441"/>
      <c r="E738" s="442"/>
      <c r="F738" s="441"/>
      <c r="G738" s="441"/>
      <c r="H738" s="441"/>
      <c r="I738" s="441"/>
      <c r="J738" s="441"/>
    </row>
    <row r="739" spans="1:10">
      <c r="A739" s="438"/>
      <c r="B739" s="441"/>
      <c r="C739" s="441"/>
      <c r="D739" s="441"/>
      <c r="E739" s="442"/>
      <c r="F739" s="441"/>
      <c r="G739" s="441"/>
      <c r="H739" s="441"/>
      <c r="I739" s="441"/>
      <c r="J739" s="441"/>
    </row>
    <row r="740" spans="1:10">
      <c r="A740" s="438"/>
      <c r="B740" s="441"/>
      <c r="C740" s="441"/>
      <c r="D740" s="441"/>
      <c r="E740" s="442"/>
      <c r="F740" s="441"/>
      <c r="G740" s="441"/>
      <c r="H740" s="441"/>
      <c r="I740" s="441"/>
      <c r="J740" s="441"/>
    </row>
    <row r="741" spans="1:10">
      <c r="A741" s="438"/>
      <c r="B741" s="441"/>
      <c r="C741" s="441"/>
      <c r="D741" s="441"/>
      <c r="E741" s="442"/>
      <c r="F741" s="441"/>
      <c r="G741" s="441"/>
      <c r="H741" s="441"/>
      <c r="I741" s="441"/>
      <c r="J741" s="441"/>
    </row>
    <row r="742" spans="1:10">
      <c r="A742" s="438"/>
      <c r="B742" s="441"/>
      <c r="C742" s="441"/>
      <c r="D742" s="441"/>
      <c r="E742" s="442"/>
      <c r="F742" s="441"/>
      <c r="G742" s="441"/>
      <c r="H742" s="441"/>
      <c r="I742" s="441"/>
      <c r="J742" s="441"/>
    </row>
    <row r="743" spans="1:10">
      <c r="A743" s="438"/>
      <c r="B743" s="441"/>
      <c r="C743" s="441"/>
      <c r="D743" s="441"/>
      <c r="E743" s="442"/>
      <c r="F743" s="441"/>
      <c r="G743" s="441"/>
      <c r="H743" s="441"/>
      <c r="I743" s="441"/>
      <c r="J743" s="441"/>
    </row>
    <row r="744" spans="1:10">
      <c r="A744" s="438"/>
      <c r="B744" s="441"/>
      <c r="C744" s="441"/>
      <c r="D744" s="441"/>
      <c r="E744" s="442"/>
      <c r="F744" s="441"/>
      <c r="G744" s="441"/>
      <c r="H744" s="441"/>
      <c r="I744" s="441"/>
      <c r="J744" s="441"/>
    </row>
    <row r="745" spans="1:10">
      <c r="A745" s="438"/>
      <c r="B745" s="441"/>
      <c r="C745" s="441"/>
      <c r="D745" s="441"/>
      <c r="E745" s="442"/>
      <c r="F745" s="441"/>
      <c r="G745" s="441"/>
      <c r="H745" s="441"/>
      <c r="I745" s="441"/>
      <c r="J745" s="441"/>
    </row>
    <row r="746" spans="1:10">
      <c r="A746" s="438"/>
      <c r="B746" s="441"/>
      <c r="C746" s="441"/>
      <c r="D746" s="441"/>
      <c r="E746" s="442"/>
      <c r="F746" s="441"/>
      <c r="G746" s="441"/>
      <c r="H746" s="441"/>
      <c r="I746" s="441"/>
      <c r="J746" s="441"/>
    </row>
    <row r="747" spans="1:10">
      <c r="A747" s="438"/>
      <c r="B747" s="441"/>
      <c r="C747" s="441"/>
      <c r="D747" s="441"/>
      <c r="E747" s="442"/>
      <c r="F747" s="441"/>
      <c r="G747" s="441"/>
      <c r="H747" s="441"/>
      <c r="I747" s="441"/>
      <c r="J747" s="441"/>
    </row>
    <row r="748" spans="1:10">
      <c r="A748" s="438"/>
      <c r="B748" s="441"/>
      <c r="C748" s="441"/>
      <c r="D748" s="441"/>
      <c r="E748" s="442"/>
      <c r="F748" s="441"/>
      <c r="G748" s="441"/>
      <c r="H748" s="441"/>
      <c r="I748" s="441"/>
      <c r="J748" s="441"/>
    </row>
    <row r="749" spans="1:10">
      <c r="A749" s="438"/>
      <c r="B749" s="441"/>
      <c r="C749" s="441"/>
      <c r="D749" s="441"/>
      <c r="E749" s="442"/>
      <c r="F749" s="441"/>
      <c r="G749" s="441"/>
      <c r="H749" s="441"/>
      <c r="I749" s="441"/>
      <c r="J749" s="441"/>
    </row>
    <row r="750" spans="1:10">
      <c r="A750" s="438"/>
      <c r="B750" s="441"/>
      <c r="C750" s="441"/>
      <c r="D750" s="441"/>
      <c r="E750" s="442"/>
      <c r="F750" s="441"/>
      <c r="G750" s="441"/>
      <c r="H750" s="441"/>
      <c r="I750" s="441"/>
      <c r="J750" s="441"/>
    </row>
    <row r="751" spans="1:10">
      <c r="A751" s="438"/>
      <c r="B751" s="441"/>
      <c r="C751" s="441"/>
      <c r="D751" s="441"/>
      <c r="E751" s="442"/>
      <c r="F751" s="441"/>
      <c r="G751" s="441"/>
      <c r="H751" s="441"/>
      <c r="I751" s="441"/>
      <c r="J751" s="441"/>
    </row>
    <row r="752" spans="1:10">
      <c r="A752" s="438"/>
      <c r="B752" s="441"/>
      <c r="C752" s="441"/>
      <c r="D752" s="441"/>
      <c r="E752" s="442"/>
      <c r="F752" s="441"/>
      <c r="G752" s="441"/>
      <c r="H752" s="441"/>
      <c r="I752" s="441"/>
      <c r="J752" s="441"/>
    </row>
    <row r="753" spans="1:10">
      <c r="A753" s="438"/>
      <c r="B753" s="441"/>
      <c r="C753" s="441"/>
      <c r="D753" s="441"/>
      <c r="E753" s="442"/>
      <c r="F753" s="441"/>
      <c r="G753" s="441"/>
      <c r="H753" s="441"/>
      <c r="I753" s="441"/>
      <c r="J753" s="441"/>
    </row>
    <row r="754" spans="1:10">
      <c r="A754" s="438"/>
      <c r="B754" s="441"/>
      <c r="C754" s="441"/>
      <c r="D754" s="441"/>
      <c r="E754" s="442"/>
      <c r="F754" s="441"/>
      <c r="G754" s="441"/>
      <c r="H754" s="441"/>
      <c r="I754" s="441"/>
      <c r="J754" s="441"/>
    </row>
    <row r="755" spans="1:10">
      <c r="A755" s="438"/>
      <c r="B755" s="441"/>
      <c r="C755" s="441"/>
      <c r="D755" s="441"/>
      <c r="E755" s="442"/>
      <c r="F755" s="441"/>
      <c r="G755" s="441"/>
      <c r="H755" s="441"/>
      <c r="I755" s="441"/>
      <c r="J755" s="441"/>
    </row>
    <row r="756" spans="1:10">
      <c r="A756" s="438"/>
      <c r="B756" s="441"/>
      <c r="C756" s="441"/>
      <c r="D756" s="441"/>
      <c r="E756" s="442"/>
      <c r="F756" s="441"/>
      <c r="G756" s="441"/>
      <c r="H756" s="441"/>
      <c r="I756" s="441"/>
      <c r="J756" s="441"/>
    </row>
    <row r="757" spans="1:10">
      <c r="A757" s="438"/>
      <c r="B757" s="441"/>
      <c r="C757" s="441"/>
      <c r="D757" s="441"/>
      <c r="E757" s="442"/>
      <c r="F757" s="441"/>
      <c r="G757" s="441"/>
      <c r="H757" s="441"/>
      <c r="I757" s="441"/>
      <c r="J757" s="441"/>
    </row>
    <row r="758" spans="1:10">
      <c r="A758" s="438"/>
      <c r="B758" s="441"/>
      <c r="C758" s="441"/>
      <c r="D758" s="441"/>
      <c r="E758" s="442"/>
      <c r="F758" s="441"/>
      <c r="G758" s="441"/>
      <c r="H758" s="441"/>
      <c r="I758" s="441"/>
      <c r="J758" s="441"/>
    </row>
    <row r="759" spans="1:10">
      <c r="A759" s="438"/>
      <c r="B759" s="441"/>
      <c r="C759" s="441"/>
      <c r="D759" s="441"/>
      <c r="E759" s="442"/>
      <c r="F759" s="441"/>
      <c r="G759" s="441"/>
      <c r="H759" s="441"/>
      <c r="I759" s="441"/>
      <c r="J759" s="441"/>
    </row>
    <row r="760" spans="1:10">
      <c r="A760" s="438"/>
      <c r="B760" s="441"/>
      <c r="C760" s="441"/>
      <c r="D760" s="441"/>
      <c r="E760" s="442"/>
      <c r="F760" s="441"/>
      <c r="G760" s="441"/>
      <c r="H760" s="441"/>
      <c r="I760" s="441"/>
      <c r="J760" s="441"/>
    </row>
    <row r="761" spans="1:10">
      <c r="A761" s="438"/>
      <c r="B761" s="441"/>
      <c r="C761" s="441"/>
      <c r="D761" s="441"/>
      <c r="E761" s="442"/>
      <c r="F761" s="441"/>
      <c r="G761" s="441"/>
      <c r="H761" s="441"/>
      <c r="I761" s="441"/>
      <c r="J761" s="441"/>
    </row>
    <row r="762" spans="1:10">
      <c r="A762" s="438"/>
      <c r="B762" s="441"/>
      <c r="C762" s="441"/>
      <c r="D762" s="441"/>
      <c r="E762" s="442"/>
      <c r="F762" s="441"/>
      <c r="G762" s="441"/>
      <c r="H762" s="441"/>
      <c r="I762" s="441"/>
      <c r="J762" s="441"/>
    </row>
    <row r="763" spans="1:10">
      <c r="A763" s="438"/>
      <c r="B763" s="441"/>
      <c r="C763" s="441"/>
      <c r="D763" s="441"/>
      <c r="E763" s="442"/>
      <c r="F763" s="441"/>
      <c r="G763" s="441"/>
      <c r="H763" s="441"/>
      <c r="I763" s="441"/>
      <c r="J763" s="441"/>
    </row>
    <row r="764" spans="1:10">
      <c r="A764" s="438"/>
      <c r="B764" s="441"/>
      <c r="C764" s="441"/>
      <c r="D764" s="441"/>
      <c r="E764" s="442"/>
      <c r="F764" s="441"/>
      <c r="G764" s="441"/>
      <c r="H764" s="441"/>
      <c r="I764" s="441"/>
      <c r="J764" s="441"/>
    </row>
    <row r="765" spans="1:10">
      <c r="A765" s="438"/>
      <c r="B765" s="441"/>
      <c r="C765" s="441"/>
      <c r="D765" s="441"/>
      <c r="E765" s="442"/>
      <c r="F765" s="441"/>
      <c r="G765" s="441"/>
      <c r="H765" s="441"/>
      <c r="I765" s="441"/>
      <c r="J765" s="441"/>
    </row>
    <row r="766" spans="1:10">
      <c r="A766" s="438"/>
      <c r="B766" s="441"/>
      <c r="C766" s="441"/>
      <c r="D766" s="441"/>
      <c r="E766" s="442"/>
      <c r="F766" s="441"/>
      <c r="G766" s="441"/>
      <c r="H766" s="441"/>
      <c r="I766" s="441"/>
      <c r="J766" s="441"/>
    </row>
    <row r="767" spans="1:10">
      <c r="A767" s="438"/>
      <c r="B767" s="441"/>
      <c r="C767" s="441"/>
      <c r="D767" s="441"/>
      <c r="E767" s="442"/>
      <c r="F767" s="441"/>
      <c r="G767" s="441"/>
      <c r="H767" s="441"/>
      <c r="I767" s="441"/>
      <c r="J767" s="441"/>
    </row>
    <row r="768" spans="1:10">
      <c r="A768" s="438"/>
      <c r="B768" s="441"/>
      <c r="C768" s="441"/>
      <c r="D768" s="441"/>
      <c r="E768" s="442"/>
      <c r="F768" s="441"/>
      <c r="G768" s="441"/>
      <c r="H768" s="441"/>
      <c r="I768" s="441"/>
      <c r="J768" s="441"/>
    </row>
    <row r="769" spans="1:10">
      <c r="A769" s="438"/>
      <c r="B769" s="441"/>
      <c r="C769" s="441"/>
      <c r="D769" s="441"/>
      <c r="E769" s="442"/>
      <c r="F769" s="441"/>
      <c r="G769" s="441"/>
      <c r="H769" s="441"/>
      <c r="I769" s="441"/>
      <c r="J769" s="441"/>
    </row>
    <row r="770" spans="1:10">
      <c r="A770" s="438"/>
      <c r="B770" s="441"/>
      <c r="C770" s="441"/>
      <c r="D770" s="441"/>
      <c r="E770" s="442"/>
      <c r="F770" s="441"/>
      <c r="G770" s="441"/>
      <c r="H770" s="441"/>
      <c r="I770" s="441"/>
      <c r="J770" s="441"/>
    </row>
    <row r="771" spans="1:10">
      <c r="A771" s="438"/>
      <c r="B771" s="441"/>
      <c r="C771" s="441"/>
      <c r="D771" s="441"/>
      <c r="E771" s="442"/>
      <c r="F771" s="441"/>
      <c r="G771" s="441"/>
      <c r="H771" s="441"/>
      <c r="I771" s="441"/>
      <c r="J771" s="441"/>
    </row>
    <row r="772" spans="1:10">
      <c r="A772" s="438"/>
      <c r="B772" s="441"/>
      <c r="C772" s="441"/>
      <c r="D772" s="441"/>
      <c r="E772" s="442"/>
      <c r="F772" s="441"/>
      <c r="G772" s="441"/>
      <c r="H772" s="441"/>
      <c r="I772" s="441"/>
      <c r="J772" s="441"/>
    </row>
    <row r="773" spans="1:10">
      <c r="A773" s="438"/>
      <c r="B773" s="441"/>
      <c r="C773" s="441"/>
      <c r="D773" s="441"/>
      <c r="E773" s="442"/>
      <c r="F773" s="441"/>
      <c r="G773" s="441"/>
      <c r="H773" s="441"/>
      <c r="I773" s="441"/>
      <c r="J773" s="441"/>
    </row>
    <row r="774" spans="1:10">
      <c r="A774" s="438"/>
      <c r="B774" s="441"/>
      <c r="C774" s="441"/>
      <c r="D774" s="441"/>
      <c r="E774" s="442"/>
      <c r="F774" s="441"/>
      <c r="G774" s="441"/>
      <c r="H774" s="441"/>
      <c r="I774" s="441"/>
      <c r="J774" s="441"/>
    </row>
    <row r="775" spans="1:10">
      <c r="A775" s="438"/>
      <c r="B775" s="441"/>
      <c r="C775" s="441"/>
      <c r="D775" s="441"/>
      <c r="E775" s="442"/>
      <c r="F775" s="441"/>
      <c r="G775" s="441"/>
      <c r="H775" s="441"/>
      <c r="I775" s="441"/>
      <c r="J775" s="441"/>
    </row>
    <row r="776" spans="1:10">
      <c r="A776" s="438"/>
      <c r="B776" s="441"/>
      <c r="C776" s="441"/>
      <c r="D776" s="441"/>
      <c r="E776" s="442"/>
      <c r="F776" s="441"/>
      <c r="G776" s="441"/>
      <c r="H776" s="441"/>
      <c r="I776" s="441"/>
      <c r="J776" s="441"/>
    </row>
    <row r="777" spans="1:10">
      <c r="A777" s="438"/>
      <c r="B777" s="441"/>
      <c r="C777" s="441"/>
      <c r="D777" s="441"/>
      <c r="E777" s="442"/>
      <c r="F777" s="441"/>
      <c r="G777" s="441"/>
      <c r="H777" s="441"/>
      <c r="I777" s="441"/>
      <c r="J777" s="441"/>
    </row>
    <row r="778" spans="1:10">
      <c r="A778" s="438"/>
      <c r="B778" s="441"/>
      <c r="C778" s="441"/>
      <c r="D778" s="441"/>
      <c r="E778" s="442"/>
      <c r="F778" s="441"/>
      <c r="G778" s="441"/>
      <c r="H778" s="441"/>
      <c r="I778" s="441"/>
      <c r="J778" s="441"/>
    </row>
    <row r="779" spans="1:10">
      <c r="A779" s="438"/>
      <c r="B779" s="441"/>
      <c r="C779" s="441"/>
      <c r="D779" s="441"/>
      <c r="E779" s="442"/>
      <c r="F779" s="441"/>
      <c r="G779" s="441"/>
      <c r="H779" s="441"/>
      <c r="I779" s="441"/>
      <c r="J779" s="441"/>
    </row>
    <row r="780" spans="1:10">
      <c r="A780" s="438"/>
      <c r="B780" s="441"/>
      <c r="C780" s="441"/>
      <c r="D780" s="441"/>
      <c r="E780" s="442"/>
      <c r="F780" s="441"/>
      <c r="G780" s="441"/>
      <c r="H780" s="441"/>
      <c r="I780" s="441"/>
      <c r="J780" s="441"/>
    </row>
    <row r="781" spans="1:10">
      <c r="A781" s="438"/>
      <c r="B781" s="441"/>
      <c r="C781" s="441"/>
      <c r="D781" s="441"/>
      <c r="E781" s="442"/>
      <c r="F781" s="441"/>
      <c r="G781" s="441"/>
      <c r="H781" s="441"/>
      <c r="I781" s="441"/>
      <c r="J781" s="441"/>
    </row>
    <row r="782" spans="1:10">
      <c r="A782" s="438"/>
      <c r="B782" s="441"/>
      <c r="C782" s="441"/>
      <c r="D782" s="441"/>
      <c r="E782" s="442"/>
      <c r="F782" s="441"/>
      <c r="G782" s="441"/>
      <c r="H782" s="441"/>
      <c r="I782" s="441"/>
      <c r="J782" s="441"/>
    </row>
    <row r="783" spans="1:10">
      <c r="A783" s="438"/>
      <c r="B783" s="441"/>
      <c r="C783" s="441"/>
      <c r="D783" s="441"/>
      <c r="E783" s="442"/>
      <c r="F783" s="441"/>
      <c r="G783" s="441"/>
      <c r="H783" s="441"/>
      <c r="I783" s="441"/>
      <c r="J783" s="441"/>
    </row>
    <row r="784" spans="1:10">
      <c r="A784" s="438"/>
      <c r="B784" s="441"/>
      <c r="C784" s="441"/>
      <c r="D784" s="441"/>
      <c r="E784" s="442"/>
      <c r="F784" s="441"/>
      <c r="G784" s="441"/>
      <c r="H784" s="441"/>
      <c r="I784" s="441"/>
      <c r="J784" s="441"/>
    </row>
    <row r="785" spans="1:10">
      <c r="A785" s="438"/>
      <c r="B785" s="441"/>
      <c r="C785" s="441"/>
      <c r="D785" s="441"/>
      <c r="E785" s="442"/>
      <c r="F785" s="441"/>
      <c r="G785" s="441"/>
      <c r="H785" s="441"/>
      <c r="I785" s="441"/>
      <c r="J785" s="441"/>
    </row>
    <row r="786" spans="1:10">
      <c r="A786" s="438"/>
      <c r="B786" s="441"/>
      <c r="C786" s="441"/>
      <c r="D786" s="441"/>
      <c r="E786" s="442"/>
      <c r="F786" s="441"/>
      <c r="G786" s="441"/>
      <c r="H786" s="441"/>
      <c r="I786" s="441"/>
      <c r="J786" s="441"/>
    </row>
    <row r="787" spans="1:10">
      <c r="A787" s="438"/>
      <c r="B787" s="441"/>
      <c r="C787" s="441"/>
      <c r="D787" s="441"/>
      <c r="E787" s="442"/>
      <c r="F787" s="441"/>
      <c r="G787" s="441"/>
      <c r="H787" s="441"/>
      <c r="I787" s="441"/>
      <c r="J787" s="441"/>
    </row>
    <row r="788" spans="1:10">
      <c r="A788" s="438"/>
      <c r="B788" s="441"/>
      <c r="C788" s="441"/>
      <c r="D788" s="441"/>
      <c r="E788" s="442"/>
      <c r="F788" s="441"/>
      <c r="G788" s="441"/>
      <c r="H788" s="441"/>
      <c r="I788" s="441"/>
      <c r="J788" s="441"/>
    </row>
    <row r="789" spans="1:10">
      <c r="A789" s="438"/>
      <c r="B789" s="441"/>
      <c r="C789" s="441"/>
      <c r="D789" s="441"/>
      <c r="E789" s="442"/>
      <c r="F789" s="441"/>
      <c r="G789" s="441"/>
      <c r="H789" s="441"/>
      <c r="I789" s="441"/>
      <c r="J789" s="441"/>
    </row>
    <row r="790" spans="1:10">
      <c r="A790" s="438"/>
      <c r="B790" s="441"/>
      <c r="C790" s="441"/>
      <c r="D790" s="441"/>
      <c r="E790" s="442"/>
      <c r="F790" s="441"/>
      <c r="G790" s="441"/>
      <c r="H790" s="441"/>
      <c r="I790" s="441"/>
      <c r="J790" s="441"/>
    </row>
    <row r="791" spans="1:10">
      <c r="A791" s="438"/>
      <c r="B791" s="441"/>
      <c r="C791" s="441"/>
      <c r="D791" s="441"/>
      <c r="E791" s="442"/>
      <c r="F791" s="441"/>
      <c r="G791" s="441"/>
      <c r="H791" s="441"/>
      <c r="I791" s="441"/>
      <c r="J791" s="441"/>
    </row>
    <row r="792" spans="1:10">
      <c r="A792" s="438"/>
      <c r="B792" s="441"/>
      <c r="C792" s="441"/>
      <c r="D792" s="441"/>
      <c r="E792" s="442"/>
      <c r="F792" s="441"/>
      <c r="G792" s="441"/>
      <c r="H792" s="441"/>
      <c r="I792" s="441"/>
      <c r="J792" s="441"/>
    </row>
    <row r="793" spans="1:10">
      <c r="A793" s="438"/>
      <c r="B793" s="441"/>
      <c r="C793" s="441"/>
      <c r="D793" s="441"/>
      <c r="E793" s="442"/>
      <c r="F793" s="441"/>
      <c r="G793" s="441"/>
      <c r="H793" s="441"/>
      <c r="I793" s="441"/>
      <c r="J793" s="441"/>
    </row>
    <row r="794" spans="1:10">
      <c r="A794" s="438"/>
      <c r="B794" s="441"/>
      <c r="C794" s="441"/>
      <c r="D794" s="441"/>
      <c r="E794" s="442"/>
      <c r="F794" s="441"/>
      <c r="G794" s="441"/>
      <c r="H794" s="441"/>
      <c r="I794" s="441"/>
      <c r="J794" s="441"/>
    </row>
    <row r="795" spans="1:10">
      <c r="A795" s="438"/>
      <c r="B795" s="441"/>
      <c r="C795" s="441"/>
      <c r="D795" s="441"/>
      <c r="E795" s="442"/>
      <c r="F795" s="441"/>
      <c r="G795" s="441"/>
      <c r="H795" s="441"/>
      <c r="I795" s="441"/>
      <c r="J795" s="441"/>
    </row>
    <row r="796" spans="1:10">
      <c r="A796" s="438"/>
      <c r="B796" s="441"/>
      <c r="C796" s="441"/>
      <c r="D796" s="441"/>
      <c r="E796" s="442"/>
      <c r="F796" s="441"/>
      <c r="G796" s="441"/>
      <c r="H796" s="441"/>
      <c r="I796" s="441"/>
      <c r="J796" s="441"/>
    </row>
    <row r="797" spans="1:10">
      <c r="A797" s="438"/>
      <c r="B797" s="441"/>
      <c r="C797" s="441"/>
      <c r="D797" s="441"/>
      <c r="E797" s="442"/>
      <c r="F797" s="441"/>
      <c r="G797" s="441"/>
      <c r="H797" s="441"/>
      <c r="I797" s="441"/>
      <c r="J797" s="441"/>
    </row>
    <row r="798" spans="1:10">
      <c r="A798" s="438"/>
      <c r="B798" s="441"/>
      <c r="C798" s="441"/>
      <c r="D798" s="441"/>
      <c r="E798" s="442"/>
      <c r="F798" s="441"/>
      <c r="G798" s="441"/>
      <c r="H798" s="441"/>
      <c r="I798" s="441"/>
      <c r="J798" s="441"/>
    </row>
    <row r="799" spans="1:10">
      <c r="A799" s="438"/>
      <c r="B799" s="441"/>
      <c r="C799" s="441"/>
      <c r="D799" s="441"/>
      <c r="E799" s="442"/>
      <c r="F799" s="441"/>
      <c r="G799" s="441"/>
      <c r="H799" s="441"/>
      <c r="I799" s="441"/>
      <c r="J799" s="441"/>
    </row>
    <row r="800" spans="1:10">
      <c r="A800" s="438"/>
      <c r="B800" s="441"/>
      <c r="C800" s="441"/>
      <c r="D800" s="441"/>
      <c r="E800" s="442"/>
      <c r="F800" s="441"/>
      <c r="G800" s="441"/>
      <c r="H800" s="441"/>
      <c r="I800" s="441"/>
      <c r="J800" s="441"/>
    </row>
    <row r="801" spans="1:10">
      <c r="A801" s="438"/>
      <c r="B801" s="441"/>
      <c r="C801" s="441"/>
      <c r="D801" s="441"/>
      <c r="E801" s="442"/>
      <c r="F801" s="441"/>
      <c r="G801" s="441"/>
      <c r="H801" s="441"/>
      <c r="I801" s="441"/>
      <c r="J801" s="441"/>
    </row>
    <row r="802" spans="1:10">
      <c r="A802" s="438"/>
      <c r="B802" s="441"/>
      <c r="C802" s="441"/>
      <c r="D802" s="441"/>
      <c r="E802" s="442"/>
      <c r="F802" s="441"/>
      <c r="G802" s="441"/>
      <c r="H802" s="441"/>
      <c r="I802" s="441"/>
      <c r="J802" s="441"/>
    </row>
    <row r="803" spans="1:10">
      <c r="A803" s="438"/>
      <c r="B803" s="441"/>
      <c r="C803" s="441"/>
      <c r="D803" s="441"/>
      <c r="E803" s="442"/>
      <c r="F803" s="441"/>
      <c r="G803" s="441"/>
      <c r="H803" s="441"/>
      <c r="I803" s="441"/>
      <c r="J803" s="441"/>
    </row>
    <row r="804" spans="1:10">
      <c r="A804" s="438"/>
      <c r="B804" s="441"/>
      <c r="C804" s="441"/>
      <c r="D804" s="441"/>
      <c r="E804" s="442"/>
      <c r="F804" s="441"/>
      <c r="G804" s="441"/>
      <c r="H804" s="441"/>
      <c r="I804" s="441"/>
      <c r="J804" s="441"/>
    </row>
    <row r="805" spans="1:10">
      <c r="A805" s="438"/>
      <c r="B805" s="441"/>
      <c r="C805" s="441"/>
      <c r="D805" s="441"/>
      <c r="E805" s="442"/>
      <c r="F805" s="441"/>
      <c r="G805" s="441"/>
      <c r="H805" s="441"/>
      <c r="I805" s="441"/>
      <c r="J805" s="441"/>
    </row>
    <row r="806" spans="1:10">
      <c r="A806" s="438"/>
      <c r="B806" s="441"/>
      <c r="C806" s="441"/>
      <c r="D806" s="441"/>
      <c r="E806" s="442"/>
      <c r="F806" s="441"/>
      <c r="G806" s="441"/>
      <c r="H806" s="441"/>
      <c r="I806" s="441"/>
      <c r="J806" s="441"/>
    </row>
    <row r="807" spans="1:10">
      <c r="A807" s="438"/>
      <c r="B807" s="441"/>
      <c r="C807" s="441"/>
      <c r="D807" s="441"/>
      <c r="E807" s="442"/>
      <c r="F807" s="441"/>
      <c r="G807" s="441"/>
      <c r="H807" s="441"/>
      <c r="I807" s="441"/>
      <c r="J807" s="441"/>
    </row>
    <row r="808" spans="1:10">
      <c r="A808" s="438"/>
      <c r="B808" s="441"/>
      <c r="C808" s="441"/>
      <c r="D808" s="441"/>
      <c r="E808" s="442"/>
      <c r="F808" s="441"/>
      <c r="G808" s="441"/>
      <c r="H808" s="441"/>
      <c r="I808" s="441"/>
      <c r="J808" s="441"/>
    </row>
    <row r="809" spans="1:10">
      <c r="A809" s="438"/>
      <c r="B809" s="441"/>
      <c r="C809" s="441"/>
      <c r="D809" s="441"/>
      <c r="E809" s="442"/>
      <c r="F809" s="441"/>
      <c r="G809" s="441"/>
      <c r="H809" s="441"/>
      <c r="I809" s="441"/>
      <c r="J809" s="441"/>
    </row>
    <row r="810" spans="1:10">
      <c r="A810" s="438"/>
      <c r="B810" s="441"/>
      <c r="C810" s="441"/>
      <c r="D810" s="441"/>
      <c r="E810" s="442"/>
      <c r="F810" s="441"/>
      <c r="G810" s="441"/>
      <c r="H810" s="441"/>
      <c r="I810" s="441"/>
      <c r="J810" s="441"/>
    </row>
    <row r="811" spans="1:10">
      <c r="A811" s="438"/>
      <c r="B811" s="441"/>
      <c r="C811" s="441"/>
      <c r="D811" s="441"/>
      <c r="E811" s="442"/>
      <c r="F811" s="441"/>
      <c r="G811" s="441"/>
      <c r="H811" s="441"/>
      <c r="I811" s="441"/>
      <c r="J811" s="441"/>
    </row>
    <row r="812" spans="1:10">
      <c r="A812" s="438"/>
      <c r="B812" s="441"/>
      <c r="C812" s="441"/>
      <c r="D812" s="441"/>
      <c r="E812" s="442"/>
      <c r="F812" s="441"/>
      <c r="G812" s="441"/>
      <c r="H812" s="441"/>
      <c r="I812" s="441"/>
      <c r="J812" s="441"/>
    </row>
    <row r="813" spans="1:10">
      <c r="A813" s="438"/>
      <c r="B813" s="441"/>
      <c r="C813" s="441"/>
      <c r="D813" s="441"/>
      <c r="E813" s="442"/>
      <c r="F813" s="441"/>
      <c r="G813" s="441"/>
      <c r="H813" s="441"/>
      <c r="I813" s="441"/>
      <c r="J813" s="441"/>
    </row>
    <row r="814" spans="1:10">
      <c r="A814" s="438"/>
      <c r="B814" s="441"/>
      <c r="C814" s="441"/>
      <c r="D814" s="441"/>
      <c r="E814" s="442"/>
      <c r="F814" s="441"/>
      <c r="G814" s="441"/>
      <c r="H814" s="441"/>
      <c r="I814" s="441"/>
      <c r="J814" s="441"/>
    </row>
    <row r="815" spans="1:10">
      <c r="A815" s="438"/>
      <c r="B815" s="441"/>
      <c r="C815" s="441"/>
      <c r="D815" s="441"/>
      <c r="E815" s="442"/>
      <c r="F815" s="441"/>
      <c r="G815" s="441"/>
      <c r="H815" s="441"/>
      <c r="I815" s="441"/>
      <c r="J815" s="441"/>
    </row>
    <row r="816" spans="1:10">
      <c r="A816" s="438"/>
      <c r="B816" s="441"/>
      <c r="C816" s="441"/>
      <c r="D816" s="441"/>
      <c r="E816" s="442"/>
      <c r="F816" s="441"/>
      <c r="G816" s="441"/>
      <c r="H816" s="441"/>
      <c r="I816" s="441"/>
      <c r="J816" s="441"/>
    </row>
    <row r="817" spans="1:10">
      <c r="A817" s="438"/>
      <c r="B817" s="441"/>
      <c r="C817" s="441"/>
      <c r="D817" s="441"/>
      <c r="E817" s="442"/>
      <c r="F817" s="441"/>
      <c r="G817" s="441"/>
      <c r="H817" s="441"/>
      <c r="I817" s="441"/>
      <c r="J817" s="441"/>
    </row>
    <row r="818" spans="1:10">
      <c r="A818" s="438"/>
      <c r="B818" s="441"/>
      <c r="C818" s="441"/>
      <c r="D818" s="441"/>
      <c r="E818" s="442"/>
      <c r="F818" s="441"/>
      <c r="G818" s="441"/>
      <c r="H818" s="441"/>
      <c r="I818" s="441"/>
      <c r="J818" s="441"/>
    </row>
    <row r="819" spans="1:10">
      <c r="A819" s="438"/>
      <c r="B819" s="441"/>
      <c r="C819" s="441"/>
      <c r="D819" s="441"/>
      <c r="E819" s="442"/>
      <c r="F819" s="441"/>
      <c r="G819" s="441"/>
      <c r="H819" s="441"/>
      <c r="I819" s="441"/>
      <c r="J819" s="441"/>
    </row>
    <row r="820" spans="1:10">
      <c r="A820" s="438"/>
      <c r="B820" s="441"/>
      <c r="C820" s="441"/>
      <c r="D820" s="441"/>
      <c r="E820" s="442"/>
      <c r="F820" s="441"/>
      <c r="G820" s="441"/>
      <c r="H820" s="441"/>
      <c r="I820" s="441"/>
      <c r="J820" s="441"/>
    </row>
    <row r="821" spans="1:10">
      <c r="A821" s="438"/>
      <c r="B821" s="441"/>
      <c r="C821" s="441"/>
      <c r="D821" s="441"/>
      <c r="E821" s="442"/>
      <c r="F821" s="441"/>
      <c r="G821" s="441"/>
      <c r="H821" s="441"/>
      <c r="I821" s="441"/>
      <c r="J821" s="441"/>
    </row>
    <row r="822" spans="1:10">
      <c r="A822" s="438"/>
      <c r="B822" s="441"/>
      <c r="C822" s="441"/>
      <c r="D822" s="441"/>
      <c r="E822" s="442"/>
      <c r="F822" s="441"/>
      <c r="G822" s="441"/>
      <c r="H822" s="441"/>
      <c r="I822" s="441"/>
      <c r="J822" s="441"/>
    </row>
    <row r="823" spans="1:10">
      <c r="A823" s="438"/>
      <c r="B823" s="441"/>
      <c r="C823" s="441"/>
      <c r="D823" s="441"/>
      <c r="E823" s="442"/>
      <c r="F823" s="441"/>
      <c r="G823" s="441"/>
      <c r="H823" s="441"/>
      <c r="I823" s="441"/>
      <c r="J823" s="441"/>
    </row>
    <row r="824" spans="1:10">
      <c r="A824" s="438"/>
      <c r="B824" s="441"/>
      <c r="C824" s="441"/>
      <c r="D824" s="441"/>
      <c r="E824" s="442"/>
      <c r="F824" s="441"/>
      <c r="G824" s="441"/>
      <c r="H824" s="441"/>
      <c r="I824" s="441"/>
      <c r="J824" s="441"/>
    </row>
    <row r="825" spans="1:10">
      <c r="A825" s="438"/>
      <c r="B825" s="441"/>
      <c r="C825" s="441"/>
      <c r="D825" s="441"/>
      <c r="E825" s="442"/>
      <c r="F825" s="441"/>
      <c r="G825" s="441"/>
      <c r="H825" s="441"/>
      <c r="I825" s="441"/>
      <c r="J825" s="441"/>
    </row>
    <row r="826" spans="1:10">
      <c r="A826" s="438"/>
      <c r="B826" s="441"/>
      <c r="C826" s="441"/>
      <c r="D826" s="441"/>
      <c r="E826" s="442"/>
      <c r="F826" s="441"/>
      <c r="G826" s="441"/>
      <c r="H826" s="441"/>
      <c r="I826" s="441"/>
      <c r="J826" s="441"/>
    </row>
    <row r="827" spans="1:10">
      <c r="A827" s="438"/>
      <c r="B827" s="441"/>
      <c r="C827" s="441"/>
      <c r="D827" s="441"/>
      <c r="E827" s="442"/>
      <c r="F827" s="441"/>
      <c r="G827" s="441"/>
      <c r="H827" s="441"/>
      <c r="I827" s="441"/>
      <c r="J827" s="441"/>
    </row>
    <row r="828" spans="1:10">
      <c r="A828" s="438"/>
      <c r="B828" s="441"/>
      <c r="C828" s="441"/>
      <c r="D828" s="441"/>
      <c r="E828" s="442"/>
      <c r="F828" s="441"/>
      <c r="G828" s="441"/>
      <c r="H828" s="441"/>
      <c r="I828" s="441"/>
      <c r="J828" s="441"/>
    </row>
    <row r="829" spans="1:10">
      <c r="A829" s="438"/>
      <c r="B829" s="441"/>
      <c r="C829" s="441"/>
      <c r="D829" s="441"/>
      <c r="E829" s="442"/>
      <c r="F829" s="441"/>
      <c r="G829" s="441"/>
      <c r="H829" s="441"/>
      <c r="I829" s="441"/>
      <c r="J829" s="441"/>
    </row>
    <row r="830" spans="1:10">
      <c r="A830" s="438"/>
      <c r="B830" s="441"/>
      <c r="C830" s="441"/>
      <c r="D830" s="441"/>
      <c r="E830" s="442"/>
      <c r="F830" s="441"/>
      <c r="G830" s="441"/>
      <c r="H830" s="441"/>
      <c r="I830" s="441"/>
      <c r="J830" s="441"/>
    </row>
    <row r="831" spans="1:10">
      <c r="A831" s="438"/>
      <c r="B831" s="441"/>
      <c r="C831" s="441"/>
      <c r="D831" s="441"/>
      <c r="E831" s="442"/>
      <c r="F831" s="441"/>
      <c r="G831" s="441"/>
      <c r="H831" s="441"/>
      <c r="I831" s="441"/>
      <c r="J831" s="441"/>
    </row>
    <row r="832" spans="1:10">
      <c r="A832" s="438"/>
      <c r="B832" s="441"/>
      <c r="C832" s="441"/>
      <c r="D832" s="441"/>
      <c r="E832" s="442"/>
      <c r="F832" s="441"/>
      <c r="G832" s="441"/>
      <c r="H832" s="441"/>
      <c r="I832" s="441"/>
      <c r="J832" s="441"/>
    </row>
    <row r="833" spans="1:10">
      <c r="A833" s="438"/>
      <c r="B833" s="441"/>
      <c r="C833" s="441"/>
      <c r="D833" s="441"/>
      <c r="E833" s="442"/>
      <c r="F833" s="441"/>
      <c r="G833" s="441"/>
      <c r="H833" s="441"/>
      <c r="I833" s="441"/>
      <c r="J833" s="441"/>
    </row>
    <row r="834" spans="1:10">
      <c r="A834" s="438"/>
      <c r="B834" s="441"/>
      <c r="C834" s="441"/>
      <c r="D834" s="441"/>
      <c r="E834" s="442"/>
      <c r="F834" s="441"/>
      <c r="G834" s="441"/>
      <c r="H834" s="441"/>
      <c r="I834" s="441"/>
      <c r="J834" s="441"/>
    </row>
    <row r="835" spans="1:10">
      <c r="A835" s="438"/>
      <c r="B835" s="441"/>
      <c r="C835" s="441"/>
      <c r="D835" s="441"/>
      <c r="E835" s="442"/>
      <c r="F835" s="441"/>
      <c r="G835" s="441"/>
      <c r="H835" s="441"/>
      <c r="I835" s="441"/>
      <c r="J835" s="441"/>
    </row>
    <row r="836" spans="1:10">
      <c r="A836" s="438"/>
      <c r="B836" s="441"/>
      <c r="C836" s="441"/>
      <c r="D836" s="441"/>
      <c r="E836" s="442"/>
      <c r="F836" s="441"/>
      <c r="G836" s="441"/>
      <c r="H836" s="441"/>
      <c r="I836" s="441"/>
      <c r="J836" s="441"/>
    </row>
    <row r="837" spans="1:10">
      <c r="A837" s="438"/>
      <c r="B837" s="441"/>
      <c r="C837" s="441"/>
      <c r="D837" s="441"/>
      <c r="E837" s="442"/>
      <c r="F837" s="441"/>
      <c r="G837" s="441"/>
      <c r="H837" s="441"/>
      <c r="I837" s="441"/>
      <c r="J837" s="441"/>
    </row>
    <row r="838" spans="1:10">
      <c r="A838" s="438"/>
      <c r="B838" s="441"/>
      <c r="C838" s="441"/>
      <c r="D838" s="441"/>
      <c r="E838" s="442"/>
      <c r="F838" s="441"/>
      <c r="G838" s="441"/>
      <c r="H838" s="441"/>
      <c r="I838" s="441"/>
      <c r="J838" s="441"/>
    </row>
    <row r="839" spans="1:10">
      <c r="A839" s="438"/>
      <c r="B839" s="441"/>
      <c r="C839" s="441"/>
      <c r="D839" s="441"/>
      <c r="E839" s="442"/>
      <c r="F839" s="441"/>
      <c r="G839" s="441"/>
      <c r="H839" s="441"/>
      <c r="I839" s="441"/>
      <c r="J839" s="441"/>
    </row>
    <row r="840" spans="1:10">
      <c r="A840" s="438"/>
      <c r="B840" s="441"/>
      <c r="C840" s="441"/>
      <c r="D840" s="441"/>
      <c r="E840" s="442"/>
      <c r="F840" s="441"/>
      <c r="G840" s="441"/>
      <c r="H840" s="441"/>
      <c r="I840" s="441"/>
      <c r="J840" s="441"/>
    </row>
    <row r="841" spans="1:10">
      <c r="A841" s="438"/>
      <c r="B841" s="441"/>
      <c r="C841" s="441"/>
      <c r="D841" s="441"/>
      <c r="E841" s="442"/>
      <c r="F841" s="441"/>
      <c r="G841" s="441"/>
      <c r="H841" s="441"/>
      <c r="I841" s="441"/>
      <c r="J841" s="441"/>
    </row>
    <row r="842" spans="1:10">
      <c r="A842" s="438"/>
      <c r="B842" s="441"/>
      <c r="C842" s="441"/>
      <c r="D842" s="441"/>
      <c r="E842" s="442"/>
      <c r="F842" s="441"/>
      <c r="G842" s="441"/>
      <c r="H842" s="441"/>
      <c r="I842" s="441"/>
      <c r="J842" s="441"/>
    </row>
    <row r="843" spans="1:10">
      <c r="A843" s="438"/>
      <c r="B843" s="441"/>
      <c r="C843" s="441"/>
      <c r="D843" s="441"/>
      <c r="E843" s="442"/>
      <c r="F843" s="441"/>
      <c r="G843" s="441"/>
      <c r="H843" s="441"/>
      <c r="I843" s="441"/>
      <c r="J843" s="441"/>
    </row>
    <row r="844" spans="1:10">
      <c r="A844" s="438"/>
      <c r="B844" s="441"/>
      <c r="C844" s="441"/>
      <c r="D844" s="441"/>
      <c r="E844" s="442"/>
      <c r="F844" s="441"/>
      <c r="G844" s="441"/>
      <c r="H844" s="441"/>
      <c r="I844" s="441"/>
      <c r="J844" s="441"/>
    </row>
    <row r="845" spans="1:10">
      <c r="A845" s="438"/>
      <c r="B845" s="441"/>
      <c r="C845" s="441"/>
      <c r="D845" s="441"/>
      <c r="E845" s="442"/>
      <c r="F845" s="441"/>
      <c r="G845" s="441"/>
      <c r="H845" s="441"/>
      <c r="I845" s="441"/>
      <c r="J845" s="441"/>
    </row>
    <row r="846" spans="1:10">
      <c r="A846" s="438"/>
      <c r="B846" s="441"/>
      <c r="C846" s="441"/>
      <c r="D846" s="441"/>
      <c r="E846" s="442"/>
      <c r="F846" s="441"/>
      <c r="G846" s="441"/>
      <c r="H846" s="441"/>
      <c r="I846" s="441"/>
      <c r="J846" s="441"/>
    </row>
    <row r="847" spans="1:10">
      <c r="A847" s="438"/>
      <c r="B847" s="441"/>
      <c r="C847" s="441"/>
      <c r="D847" s="441"/>
      <c r="E847" s="442"/>
      <c r="F847" s="441"/>
      <c r="G847" s="441"/>
      <c r="H847" s="441"/>
      <c r="I847" s="441"/>
      <c r="J847" s="441"/>
    </row>
    <row r="848" spans="1:10">
      <c r="A848" s="438"/>
      <c r="B848" s="441"/>
      <c r="C848" s="441"/>
      <c r="D848" s="441"/>
      <c r="E848" s="442"/>
      <c r="F848" s="441"/>
      <c r="G848" s="441"/>
      <c r="H848" s="441"/>
      <c r="I848" s="441"/>
      <c r="J848" s="441"/>
    </row>
    <row r="849" spans="1:10">
      <c r="A849" s="438"/>
      <c r="B849" s="441"/>
      <c r="C849" s="441"/>
      <c r="D849" s="441"/>
      <c r="E849" s="442"/>
      <c r="F849" s="441"/>
      <c r="G849" s="441"/>
      <c r="H849" s="441"/>
      <c r="I849" s="441"/>
      <c r="J849" s="441"/>
    </row>
    <row r="850" spans="1:10">
      <c r="A850" s="438"/>
      <c r="B850" s="441"/>
      <c r="C850" s="441"/>
      <c r="D850" s="441"/>
      <c r="E850" s="442"/>
      <c r="F850" s="441"/>
      <c r="G850" s="441"/>
      <c r="H850" s="441"/>
      <c r="I850" s="441"/>
      <c r="J850" s="441"/>
    </row>
    <row r="851" spans="1:10">
      <c r="A851" s="438"/>
      <c r="B851" s="441"/>
      <c r="C851" s="441"/>
      <c r="D851" s="441"/>
      <c r="E851" s="442"/>
      <c r="F851" s="441"/>
      <c r="G851" s="441"/>
      <c r="H851" s="441"/>
      <c r="I851" s="441"/>
      <c r="J851" s="441"/>
    </row>
    <row r="852" spans="1:10">
      <c r="A852" s="438"/>
      <c r="B852" s="441"/>
      <c r="C852" s="441"/>
      <c r="D852" s="441"/>
      <c r="E852" s="442"/>
      <c r="F852" s="441"/>
      <c r="G852" s="441"/>
      <c r="H852" s="441"/>
      <c r="I852" s="441"/>
      <c r="J852" s="441"/>
    </row>
    <row r="853" spans="1:10">
      <c r="A853" s="438"/>
      <c r="B853" s="441"/>
      <c r="C853" s="441"/>
      <c r="D853" s="441"/>
      <c r="E853" s="442"/>
      <c r="F853" s="441"/>
      <c r="G853" s="441"/>
      <c r="H853" s="441"/>
      <c r="I853" s="441"/>
      <c r="J853" s="441"/>
    </row>
    <row r="854" spans="1:10">
      <c r="A854" s="438"/>
      <c r="B854" s="441"/>
      <c r="C854" s="441"/>
      <c r="D854" s="441"/>
      <c r="E854" s="442"/>
      <c r="F854" s="441"/>
      <c r="G854" s="441"/>
      <c r="H854" s="441"/>
      <c r="I854" s="441"/>
      <c r="J854" s="441"/>
    </row>
    <row r="855" spans="1:10">
      <c r="A855" s="438"/>
      <c r="B855" s="441"/>
      <c r="C855" s="441"/>
      <c r="D855" s="441"/>
      <c r="E855" s="442"/>
      <c r="F855" s="441"/>
      <c r="G855" s="441"/>
      <c r="H855" s="441"/>
      <c r="I855" s="441"/>
      <c r="J855" s="441"/>
    </row>
    <row r="856" spans="1:10">
      <c r="A856" s="438"/>
      <c r="B856" s="441"/>
      <c r="C856" s="441"/>
      <c r="D856" s="441"/>
      <c r="E856" s="442"/>
      <c r="F856" s="441"/>
      <c r="G856" s="441"/>
      <c r="H856" s="441"/>
      <c r="I856" s="441"/>
      <c r="J856" s="441"/>
    </row>
    <row r="857" spans="1:10">
      <c r="A857" s="438"/>
      <c r="B857" s="441"/>
      <c r="C857" s="441"/>
      <c r="D857" s="441"/>
      <c r="E857" s="442"/>
      <c r="F857" s="441"/>
      <c r="G857" s="441"/>
      <c r="H857" s="441"/>
      <c r="I857" s="441"/>
      <c r="J857" s="441"/>
    </row>
    <row r="858" spans="1:10">
      <c r="A858" s="438"/>
      <c r="B858" s="441"/>
      <c r="C858" s="441"/>
      <c r="D858" s="441"/>
      <c r="E858" s="442"/>
      <c r="F858" s="441"/>
      <c r="G858" s="441"/>
      <c r="H858" s="441"/>
      <c r="I858" s="441"/>
      <c r="J858" s="441"/>
    </row>
    <row r="859" spans="1:10">
      <c r="A859" s="438"/>
      <c r="B859" s="441"/>
      <c r="C859" s="441"/>
      <c r="D859" s="441"/>
      <c r="E859" s="442"/>
      <c r="F859" s="441"/>
      <c r="G859" s="441"/>
      <c r="H859" s="441"/>
      <c r="I859" s="441"/>
      <c r="J859" s="441"/>
    </row>
    <row r="860" spans="1:10">
      <c r="A860" s="438"/>
      <c r="B860" s="441"/>
      <c r="C860" s="441"/>
      <c r="D860" s="441"/>
      <c r="E860" s="442"/>
      <c r="F860" s="441"/>
      <c r="G860" s="441"/>
      <c r="H860" s="441"/>
      <c r="I860" s="441"/>
      <c r="J860" s="441"/>
    </row>
    <row r="861" spans="1:10">
      <c r="A861" s="438"/>
      <c r="B861" s="441"/>
      <c r="C861" s="441"/>
      <c r="D861" s="441"/>
      <c r="E861" s="442"/>
      <c r="F861" s="441"/>
      <c r="G861" s="441"/>
      <c r="H861" s="441"/>
      <c r="I861" s="441"/>
      <c r="J861" s="441"/>
    </row>
    <row r="862" spans="1:10">
      <c r="A862" s="438"/>
      <c r="B862" s="441"/>
      <c r="C862" s="441"/>
      <c r="D862" s="441"/>
      <c r="E862" s="442"/>
      <c r="F862" s="441"/>
      <c r="G862" s="441"/>
      <c r="H862" s="441"/>
      <c r="I862" s="441"/>
      <c r="J862" s="441"/>
    </row>
    <row r="863" spans="1:10">
      <c r="A863" s="438"/>
      <c r="B863" s="441"/>
      <c r="C863" s="441"/>
      <c r="D863" s="441"/>
      <c r="E863" s="442"/>
      <c r="F863" s="441"/>
      <c r="G863" s="441"/>
      <c r="H863" s="441"/>
      <c r="I863" s="441"/>
      <c r="J863" s="441"/>
    </row>
    <row r="864" spans="1:10">
      <c r="A864" s="438"/>
      <c r="B864" s="441"/>
      <c r="C864" s="441"/>
      <c r="D864" s="441"/>
      <c r="E864" s="442"/>
      <c r="F864" s="441"/>
      <c r="G864" s="441"/>
      <c r="H864" s="441"/>
      <c r="I864" s="441"/>
      <c r="J864" s="441"/>
    </row>
    <row r="865" spans="1:10">
      <c r="A865" s="438"/>
      <c r="B865" s="441"/>
      <c r="C865" s="441"/>
      <c r="D865" s="441"/>
      <c r="E865" s="442"/>
      <c r="F865" s="441"/>
      <c r="G865" s="441"/>
      <c r="H865" s="441"/>
      <c r="I865" s="441"/>
      <c r="J865" s="441"/>
    </row>
    <row r="866" spans="1:10">
      <c r="A866" s="438"/>
      <c r="B866" s="441"/>
      <c r="C866" s="441"/>
      <c r="D866" s="441"/>
      <c r="E866" s="442"/>
      <c r="F866" s="441"/>
      <c r="G866" s="441"/>
      <c r="H866" s="441"/>
      <c r="I866" s="441"/>
      <c r="J866" s="441"/>
    </row>
    <row r="867" spans="1:10">
      <c r="A867" s="438"/>
      <c r="B867" s="441"/>
      <c r="C867" s="441"/>
      <c r="D867" s="441"/>
      <c r="E867" s="442"/>
      <c r="F867" s="441"/>
      <c r="G867" s="441"/>
      <c r="H867" s="441"/>
      <c r="I867" s="441"/>
      <c r="J867" s="441"/>
    </row>
    <row r="868" spans="1:10">
      <c r="A868" s="438"/>
      <c r="B868" s="441"/>
      <c r="C868" s="441"/>
      <c r="D868" s="441"/>
      <c r="E868" s="442"/>
      <c r="F868" s="441"/>
      <c r="G868" s="441"/>
      <c r="H868" s="441"/>
      <c r="I868" s="441"/>
      <c r="J868" s="441"/>
    </row>
    <row r="869" spans="1:10">
      <c r="A869" s="438"/>
      <c r="B869" s="441"/>
      <c r="C869" s="441"/>
      <c r="D869" s="441"/>
      <c r="E869" s="442"/>
      <c r="F869" s="441"/>
      <c r="G869" s="441"/>
      <c r="H869" s="441"/>
      <c r="I869" s="441"/>
      <c r="J869" s="441"/>
    </row>
    <row r="870" spans="1:10">
      <c r="A870" s="438"/>
      <c r="B870" s="441"/>
      <c r="C870" s="441"/>
      <c r="D870" s="441"/>
      <c r="E870" s="442"/>
      <c r="F870" s="441"/>
      <c r="G870" s="441"/>
      <c r="H870" s="441"/>
      <c r="I870" s="441"/>
      <c r="J870" s="441"/>
    </row>
    <row r="871" spans="1:10">
      <c r="A871" s="438"/>
      <c r="B871" s="441"/>
      <c r="C871" s="441"/>
      <c r="D871" s="441"/>
      <c r="E871" s="442"/>
      <c r="F871" s="441"/>
      <c r="G871" s="441"/>
      <c r="H871" s="441"/>
      <c r="I871" s="441"/>
      <c r="J871" s="441"/>
    </row>
    <row r="872" spans="1:10">
      <c r="A872" s="438"/>
      <c r="B872" s="441"/>
      <c r="C872" s="441"/>
      <c r="D872" s="441"/>
      <c r="E872" s="442"/>
      <c r="F872" s="441"/>
      <c r="G872" s="441"/>
      <c r="H872" s="441"/>
      <c r="I872" s="441"/>
      <c r="J872" s="441"/>
    </row>
    <row r="873" spans="1:10">
      <c r="A873" s="438"/>
      <c r="B873" s="441"/>
      <c r="C873" s="441"/>
      <c r="D873" s="441"/>
      <c r="E873" s="442"/>
      <c r="F873" s="441"/>
      <c r="G873" s="441"/>
      <c r="H873" s="441"/>
      <c r="I873" s="441"/>
      <c r="J873" s="441"/>
    </row>
  </sheetData>
  <mergeCells count="10">
    <mergeCell ref="AZ4:BA4"/>
    <mergeCell ref="N79:O79"/>
    <mergeCell ref="C85:F85"/>
    <mergeCell ref="H85:K85"/>
    <mergeCell ref="A1:B1"/>
    <mergeCell ref="C1:R1"/>
    <mergeCell ref="A2:B2"/>
    <mergeCell ref="A3:B3"/>
    <mergeCell ref="AI4:AL4"/>
    <mergeCell ref="AM4:AP4"/>
  </mergeCells>
  <printOptions horizontalCentered="1"/>
  <pageMargins left="0.2" right="0" top="1.37" bottom="0.42" header="0.6" footer="0.16"/>
  <pageSetup paperSize="5" scale="82" firstPageNumber="4" fitToWidth="14" orientation="portrait" useFirstPageNumber="1" r:id="rId1"/>
  <headerFooter alignWithMargins="0">
    <oddHeader>&amp;L&amp;"Arial,Bold"&amp;16TABLE 3: FY2011-2012 Budget Letter &amp;20
&amp;16LEVEL 1 BASE PER PUPIL AND LEVEL 2 LOCAL INCENTIVE</oddHeader>
    <oddFooter>&amp;R&amp;12&amp;P</oddFooter>
  </headerFooter>
  <colBreaks count="9" manualBreakCount="9">
    <brk id="7" min="2" max="84" man="1"/>
    <brk id="11" min="2" max="84" man="1"/>
    <brk id="15" min="2" max="84" man="1"/>
    <brk id="20" min="2" max="84" man="1"/>
    <brk id="27" min="2" max="84" man="1"/>
    <brk id="34" min="2" max="84" man="1"/>
    <brk id="38" min="2" max="84" man="1"/>
    <brk id="44" min="2" max="84" man="1"/>
    <brk id="51" min="2" max="84" man="1"/>
  </colBreaks>
</worksheet>
</file>

<file path=xl/worksheets/sheet6.xml><?xml version="1.0" encoding="utf-8"?>
<worksheet xmlns="http://schemas.openxmlformats.org/spreadsheetml/2006/main" xmlns:r="http://schemas.openxmlformats.org/officeDocument/2006/relationships">
  <sheetPr transitionEvaluation="1" transitionEntry="1"/>
  <dimension ref="A1:W86"/>
  <sheetViews>
    <sheetView view="pageBreakPreview" topLeftCell="A2" zoomScale="75" zoomScaleNormal="100" zoomScaleSheetLayoutView="75" workbookViewId="0">
      <pane xSplit="2" ySplit="4" topLeftCell="C6" activePane="bottomRight" state="frozen"/>
      <selection pane="topRight"/>
      <selection pane="bottomLeft"/>
      <selection pane="bottomRight" activeCell="A79" sqref="A79:XFD86"/>
    </sheetView>
  </sheetViews>
  <sheetFormatPr defaultColWidth="12.5703125" defaultRowHeight="12.75"/>
  <cols>
    <col min="1" max="1" width="4.28515625" style="250" customWidth="1"/>
    <col min="2" max="2" width="17.140625" style="250" customWidth="1"/>
    <col min="3" max="3" width="13.5703125" style="250" customWidth="1"/>
    <col min="4" max="4" width="13.42578125" style="250" customWidth="1"/>
    <col min="5" max="5" width="13.140625" style="250" customWidth="1"/>
    <col min="6" max="6" width="13.85546875" style="250" customWidth="1"/>
    <col min="7" max="7" width="13.7109375" style="250" customWidth="1"/>
    <col min="8" max="8" width="13.5703125" style="250" customWidth="1"/>
    <col min="9" max="9" width="10.7109375" style="250" customWidth="1"/>
    <col min="10" max="10" width="14.85546875" style="250" customWidth="1"/>
    <col min="11" max="11" width="13.5703125" style="250" customWidth="1"/>
    <col min="12" max="12" width="14.140625" style="250" customWidth="1"/>
    <col min="13" max="13" width="14" style="250" customWidth="1"/>
    <col min="14" max="14" width="13.7109375" style="250" customWidth="1"/>
    <col min="15" max="15" width="15.28515625" style="250" customWidth="1"/>
    <col min="16" max="16" width="26.42578125" style="250" customWidth="1"/>
    <col min="17" max="17" width="28.28515625" style="250" customWidth="1"/>
    <col min="18" max="18" width="21" style="250" customWidth="1"/>
    <col min="19" max="16384" width="12.5703125" style="250"/>
  </cols>
  <sheetData>
    <row r="1" spans="1:18" ht="40.5" hidden="1">
      <c r="A1" s="493" t="s">
        <v>377</v>
      </c>
      <c r="B1" s="494"/>
      <c r="C1" s="495" t="s">
        <v>378</v>
      </c>
      <c r="D1" s="495" t="s">
        <v>379</v>
      </c>
      <c r="E1" s="495" t="s">
        <v>378</v>
      </c>
      <c r="F1" s="495" t="s">
        <v>380</v>
      </c>
      <c r="G1" s="495"/>
      <c r="H1" s="495"/>
      <c r="I1" s="495"/>
      <c r="J1" s="495"/>
      <c r="K1" s="495"/>
      <c r="L1" s="495"/>
      <c r="M1" s="495"/>
      <c r="N1" s="495"/>
      <c r="O1" s="496"/>
    </row>
    <row r="2" spans="1:18" ht="74.25" customHeight="1">
      <c r="A2" s="1694" t="s">
        <v>157</v>
      </c>
      <c r="B2" s="1696" t="s">
        <v>158</v>
      </c>
      <c r="C2" s="1692" t="s">
        <v>381</v>
      </c>
      <c r="D2" s="1697"/>
      <c r="E2" s="1697"/>
      <c r="F2" s="1697"/>
      <c r="G2" s="1697"/>
      <c r="H2" s="1697"/>
      <c r="I2" s="1697"/>
      <c r="J2" s="1698"/>
      <c r="K2" s="1692" t="s">
        <v>382</v>
      </c>
      <c r="L2" s="1699"/>
      <c r="M2" s="1700" t="s">
        <v>383</v>
      </c>
      <c r="N2" s="1701"/>
      <c r="O2" s="1702" t="s">
        <v>384</v>
      </c>
      <c r="P2" s="1692" t="s">
        <v>385</v>
      </c>
      <c r="Q2" s="1693"/>
      <c r="R2" s="1652" t="s">
        <v>386</v>
      </c>
    </row>
    <row r="3" spans="1:18" ht="79.5" customHeight="1">
      <c r="A3" s="1695"/>
      <c r="B3" s="1695"/>
      <c r="C3" s="1655" t="s">
        <v>387</v>
      </c>
      <c r="D3" s="1655" t="s">
        <v>388</v>
      </c>
      <c r="E3" s="1655" t="s">
        <v>389</v>
      </c>
      <c r="F3" s="1655" t="s">
        <v>390</v>
      </c>
      <c r="G3" s="1655" t="s">
        <v>391</v>
      </c>
      <c r="H3" s="1660" t="s">
        <v>392</v>
      </c>
      <c r="I3" s="1660" t="s">
        <v>393</v>
      </c>
      <c r="J3" s="497" t="s">
        <v>394</v>
      </c>
      <c r="K3" s="1704" t="s">
        <v>395</v>
      </c>
      <c r="L3" s="497" t="s">
        <v>396</v>
      </c>
      <c r="M3" s="1655" t="s">
        <v>397</v>
      </c>
      <c r="N3" s="497" t="s">
        <v>398</v>
      </c>
      <c r="O3" s="1653"/>
      <c r="P3" s="1688" t="s">
        <v>399</v>
      </c>
      <c r="Q3" s="1655" t="s">
        <v>400</v>
      </c>
      <c r="R3" s="1653"/>
    </row>
    <row r="4" spans="1:18" ht="25.5" customHeight="1">
      <c r="A4" s="1695"/>
      <c r="B4" s="1695"/>
      <c r="C4" s="1657"/>
      <c r="D4" s="1657"/>
      <c r="E4" s="1657"/>
      <c r="F4" s="1657"/>
      <c r="G4" s="1657"/>
      <c r="H4" s="1703"/>
      <c r="I4" s="1703"/>
      <c r="J4" s="498">
        <f>-(F75+H75)/I75</f>
        <v>36.600399959451117</v>
      </c>
      <c r="K4" s="1690"/>
      <c r="L4" s="499">
        <v>20000</v>
      </c>
      <c r="M4" s="1657"/>
      <c r="N4" s="500">
        <v>100</v>
      </c>
      <c r="O4" s="1654"/>
      <c r="P4" s="1689"/>
      <c r="Q4" s="1690"/>
      <c r="R4" s="1654"/>
    </row>
    <row r="5" spans="1:18" s="504" customFormat="1" ht="14.25" customHeight="1">
      <c r="A5" s="501"/>
      <c r="B5" s="502"/>
      <c r="C5" s="503">
        <v>1</v>
      </c>
      <c r="D5" s="503">
        <f t="shared" ref="D5:R5" si="0">C5+1</f>
        <v>2</v>
      </c>
      <c r="E5" s="503">
        <f t="shared" si="0"/>
        <v>3</v>
      </c>
      <c r="F5" s="503">
        <f t="shared" si="0"/>
        <v>4</v>
      </c>
      <c r="G5" s="503">
        <f t="shared" si="0"/>
        <v>5</v>
      </c>
      <c r="H5" s="503">
        <f t="shared" si="0"/>
        <v>6</v>
      </c>
      <c r="I5" s="503">
        <f t="shared" si="0"/>
        <v>7</v>
      </c>
      <c r="J5" s="503">
        <f t="shared" si="0"/>
        <v>8</v>
      </c>
      <c r="K5" s="503">
        <f t="shared" si="0"/>
        <v>9</v>
      </c>
      <c r="L5" s="503">
        <f t="shared" si="0"/>
        <v>10</v>
      </c>
      <c r="M5" s="503">
        <f t="shared" si="0"/>
        <v>11</v>
      </c>
      <c r="N5" s="503">
        <f t="shared" si="0"/>
        <v>12</v>
      </c>
      <c r="O5" s="503">
        <f>N5+1</f>
        <v>13</v>
      </c>
      <c r="P5" s="503">
        <f t="shared" si="0"/>
        <v>14</v>
      </c>
      <c r="Q5" s="503">
        <f t="shared" si="0"/>
        <v>15</v>
      </c>
      <c r="R5" s="503">
        <f t="shared" si="0"/>
        <v>16</v>
      </c>
    </row>
    <row r="6" spans="1:18">
      <c r="A6" s="257">
        <v>1</v>
      </c>
      <c r="B6" s="258" t="s">
        <v>179</v>
      </c>
      <c r="C6" s="505">
        <v>0</v>
      </c>
      <c r="D6" s="505">
        <v>0</v>
      </c>
      <c r="E6" s="505">
        <f>C6-D6</f>
        <v>0</v>
      </c>
      <c r="F6" s="506">
        <f>'[5]Table 4 Level 3'!F6+'[5]Table 4 Level 3'!H6</f>
        <v>0</v>
      </c>
      <c r="G6" s="506">
        <f t="shared" ref="G6:G69" si="1">SUM(E6:F6)</f>
        <v>0</v>
      </c>
      <c r="H6" s="506">
        <f>ROUND(-G6/6,0)</f>
        <v>0</v>
      </c>
      <c r="I6" s="507">
        <f>IF(F6&lt;0,0,'Table 3 Levels 1&amp;2'!C8)</f>
        <v>9154</v>
      </c>
      <c r="J6" s="508">
        <f t="shared" ref="J6:J69" si="2">ROUND($J$4*I6,0)</f>
        <v>335040</v>
      </c>
      <c r="K6" s="509">
        <v>0</v>
      </c>
      <c r="L6" s="508">
        <f t="shared" ref="L6:L69" si="3">ROUND($L$4*K6,0)</f>
        <v>0</v>
      </c>
      <c r="M6" s="507">
        <f>'Table 3 Levels 1&amp;2'!C8</f>
        <v>9154</v>
      </c>
      <c r="N6" s="508">
        <f t="shared" ref="N6:N69" si="4">ROUND(M6*$N$4,0)</f>
        <v>915400</v>
      </c>
      <c r="O6" s="508">
        <f>D6+E6+F6+H6+J6+L6+N6</f>
        <v>1250440</v>
      </c>
      <c r="P6" s="259">
        <f>'[6]Table 4 Level 3'!C6+'[6]Table 4 Level 3'!W6+'[6]Table 4 Level 3'!AA6+'[6]Table 4 Level 3'!AE6</f>
        <v>777.48</v>
      </c>
      <c r="Q6" s="510">
        <f>ROUND(P6*'Table 3 Levels 1&amp;2'!C8,0)</f>
        <v>7117052</v>
      </c>
      <c r="R6" s="508">
        <f>O6+Q6</f>
        <v>8367492</v>
      </c>
    </row>
    <row r="7" spans="1:18">
      <c r="A7" s="257">
        <v>2</v>
      </c>
      <c r="B7" s="258" t="s">
        <v>180</v>
      </c>
      <c r="C7" s="505">
        <v>0</v>
      </c>
      <c r="D7" s="505">
        <v>0</v>
      </c>
      <c r="E7" s="505">
        <f t="shared" ref="E7:E70" si="5">C7-D7</f>
        <v>0</v>
      </c>
      <c r="F7" s="506">
        <f>'[5]Table 4 Level 3'!F7+'[5]Table 4 Level 3'!H7</f>
        <v>0</v>
      </c>
      <c r="G7" s="506">
        <f t="shared" si="1"/>
        <v>0</v>
      </c>
      <c r="H7" s="506">
        <f t="shared" ref="H7:H70" si="6">ROUND(-G7/6,0)</f>
        <v>0</v>
      </c>
      <c r="I7" s="507">
        <f>IF(F7&lt;0,0,'Table 3 Levels 1&amp;2'!C9)</f>
        <v>4039</v>
      </c>
      <c r="J7" s="508">
        <f t="shared" si="2"/>
        <v>147829</v>
      </c>
      <c r="K7" s="509">
        <v>0</v>
      </c>
      <c r="L7" s="508">
        <f t="shared" si="3"/>
        <v>0</v>
      </c>
      <c r="M7" s="507">
        <f>'Table 3 Levels 1&amp;2'!C9</f>
        <v>4039</v>
      </c>
      <c r="N7" s="508">
        <f t="shared" si="4"/>
        <v>403900</v>
      </c>
      <c r="O7" s="508">
        <f t="shared" ref="O7:O70" si="7">D7+E7+F7+H7+J7+L7+N7</f>
        <v>551729</v>
      </c>
      <c r="P7" s="259">
        <f>'[6]Table 4 Level 3'!C7+'[6]Table 4 Level 3'!W7+'[6]Table 4 Level 3'!AA7+'[6]Table 4 Level 3'!AE7</f>
        <v>842.32</v>
      </c>
      <c r="Q7" s="508">
        <f>ROUND(P7*'Table 3 Levels 1&amp;2'!C9,0)</f>
        <v>3402130</v>
      </c>
      <c r="R7" s="508">
        <f t="shared" ref="R7:R70" si="8">O7+Q7</f>
        <v>3953859</v>
      </c>
    </row>
    <row r="8" spans="1:18">
      <c r="A8" s="257">
        <v>3</v>
      </c>
      <c r="B8" s="258" t="s">
        <v>181</v>
      </c>
      <c r="C8" s="505">
        <v>0</v>
      </c>
      <c r="D8" s="505">
        <v>0</v>
      </c>
      <c r="E8" s="505">
        <f t="shared" si="5"/>
        <v>0</v>
      </c>
      <c r="F8" s="506">
        <f>'[5]Table 4 Level 3'!F8+'[5]Table 4 Level 3'!H8</f>
        <v>0</v>
      </c>
      <c r="G8" s="506">
        <f t="shared" si="1"/>
        <v>0</v>
      </c>
      <c r="H8" s="506">
        <f t="shared" si="6"/>
        <v>0</v>
      </c>
      <c r="I8" s="507">
        <f>IF(F8&lt;0,0,'Table 3 Levels 1&amp;2'!C10)</f>
        <v>19509</v>
      </c>
      <c r="J8" s="508">
        <f t="shared" si="2"/>
        <v>714037</v>
      </c>
      <c r="K8" s="509">
        <v>0</v>
      </c>
      <c r="L8" s="508">
        <f t="shared" si="3"/>
        <v>0</v>
      </c>
      <c r="M8" s="507">
        <f>'Table 3 Levels 1&amp;2'!C10</f>
        <v>19509</v>
      </c>
      <c r="N8" s="508">
        <f t="shared" si="4"/>
        <v>1950900</v>
      </c>
      <c r="O8" s="508">
        <f t="shared" si="7"/>
        <v>2664937</v>
      </c>
      <c r="P8" s="259">
        <f>'[6]Table 4 Level 3'!C8+'[6]Table 4 Level 3'!W8+'[6]Table 4 Level 3'!AA8+'[6]Table 4 Level 3'!AE8</f>
        <v>596.84</v>
      </c>
      <c r="Q8" s="508">
        <f>ROUND(P8*'Table 3 Levels 1&amp;2'!C10,0)</f>
        <v>11643752</v>
      </c>
      <c r="R8" s="508">
        <f t="shared" si="8"/>
        <v>14308689</v>
      </c>
    </row>
    <row r="9" spans="1:18">
      <c r="A9" s="257">
        <v>4</v>
      </c>
      <c r="B9" s="258" t="s">
        <v>182</v>
      </c>
      <c r="C9" s="505">
        <v>0</v>
      </c>
      <c r="D9" s="505">
        <v>0</v>
      </c>
      <c r="E9" s="505">
        <f t="shared" si="5"/>
        <v>0</v>
      </c>
      <c r="F9" s="506">
        <f>'[5]Table 4 Level 3'!F9+'[5]Table 4 Level 3'!H9</f>
        <v>0</v>
      </c>
      <c r="G9" s="506">
        <f t="shared" si="1"/>
        <v>0</v>
      </c>
      <c r="H9" s="506">
        <f t="shared" si="6"/>
        <v>0</v>
      </c>
      <c r="I9" s="507">
        <f>IF(F9&lt;0,0,'Table 3 Levels 1&amp;2'!C11)</f>
        <v>3556</v>
      </c>
      <c r="J9" s="508">
        <f t="shared" si="2"/>
        <v>130151</v>
      </c>
      <c r="K9" s="509">
        <v>4</v>
      </c>
      <c r="L9" s="508">
        <f t="shared" si="3"/>
        <v>80000</v>
      </c>
      <c r="M9" s="507">
        <f>'Table 3 Levels 1&amp;2'!C11</f>
        <v>3556</v>
      </c>
      <c r="N9" s="508">
        <f t="shared" si="4"/>
        <v>355600</v>
      </c>
      <c r="O9" s="508">
        <f t="shared" si="7"/>
        <v>565751</v>
      </c>
      <c r="P9" s="259">
        <f>'[6]Table 4 Level 3'!C9+'[6]Table 4 Level 3'!W9+'[6]Table 4 Level 3'!AA9+'[6]Table 4 Level 3'!AE9</f>
        <v>585.76</v>
      </c>
      <c r="Q9" s="508">
        <f>ROUND(P9*'Table 3 Levels 1&amp;2'!C11,0)</f>
        <v>2082963</v>
      </c>
      <c r="R9" s="508">
        <f t="shared" si="8"/>
        <v>2648714</v>
      </c>
    </row>
    <row r="10" spans="1:18">
      <c r="A10" s="266">
        <v>5</v>
      </c>
      <c r="B10" s="267" t="s">
        <v>183</v>
      </c>
      <c r="C10" s="511">
        <v>0</v>
      </c>
      <c r="D10" s="511">
        <v>0</v>
      </c>
      <c r="E10" s="511">
        <f t="shared" si="5"/>
        <v>0</v>
      </c>
      <c r="F10" s="512">
        <f>'[5]Table 4 Level 3'!F10+'[5]Table 4 Level 3'!H10</f>
        <v>0</v>
      </c>
      <c r="G10" s="512">
        <f t="shared" si="1"/>
        <v>0</v>
      </c>
      <c r="H10" s="512">
        <f t="shared" si="6"/>
        <v>0</v>
      </c>
      <c r="I10" s="513">
        <f>IF(F10&lt;0,0,'Table 3 Levels 1&amp;2'!C12)</f>
        <v>5802</v>
      </c>
      <c r="J10" s="514">
        <f t="shared" si="2"/>
        <v>212356</v>
      </c>
      <c r="K10" s="515">
        <v>0</v>
      </c>
      <c r="L10" s="514">
        <f t="shared" si="3"/>
        <v>0</v>
      </c>
      <c r="M10" s="513">
        <f>'Table 3 Levels 1&amp;2'!C12</f>
        <v>5802</v>
      </c>
      <c r="N10" s="514">
        <f t="shared" si="4"/>
        <v>580200</v>
      </c>
      <c r="O10" s="514">
        <f t="shared" si="7"/>
        <v>792556</v>
      </c>
      <c r="P10" s="268">
        <f>'[6]Table 4 Level 3'!C10+'[6]Table 4 Level 3'!W10+'[6]Table 4 Level 3'!AA10+'[6]Table 4 Level 3'!AE10</f>
        <v>555.91</v>
      </c>
      <c r="Q10" s="514">
        <f>ROUND(P10*'Table 3 Levels 1&amp;2'!C12,0)</f>
        <v>3225390</v>
      </c>
      <c r="R10" s="514">
        <f t="shared" si="8"/>
        <v>4017946</v>
      </c>
    </row>
    <row r="11" spans="1:18">
      <c r="A11" s="257">
        <v>6</v>
      </c>
      <c r="B11" s="258" t="s">
        <v>184</v>
      </c>
      <c r="C11" s="505">
        <v>0</v>
      </c>
      <c r="D11" s="505">
        <v>0</v>
      </c>
      <c r="E11" s="505">
        <f t="shared" si="5"/>
        <v>0</v>
      </c>
      <c r="F11" s="506">
        <f>'[5]Table 4 Level 3'!F11+'[5]Table 4 Level 3'!H11</f>
        <v>0</v>
      </c>
      <c r="G11" s="506">
        <f t="shared" si="1"/>
        <v>0</v>
      </c>
      <c r="H11" s="506">
        <f t="shared" si="6"/>
        <v>0</v>
      </c>
      <c r="I11" s="507">
        <f>IF(F11&lt;0,0,'Table 3 Levels 1&amp;2'!C13)</f>
        <v>6041</v>
      </c>
      <c r="J11" s="508">
        <f t="shared" si="2"/>
        <v>221103</v>
      </c>
      <c r="K11" s="509">
        <v>0</v>
      </c>
      <c r="L11" s="508">
        <f t="shared" si="3"/>
        <v>0</v>
      </c>
      <c r="M11" s="507">
        <f>'Table 3 Levels 1&amp;2'!C13</f>
        <v>6041</v>
      </c>
      <c r="N11" s="508">
        <f t="shared" si="4"/>
        <v>604100</v>
      </c>
      <c r="O11" s="508">
        <f t="shared" si="7"/>
        <v>825203</v>
      </c>
      <c r="P11" s="259">
        <f>'[6]Table 4 Level 3'!C11+'[6]Table 4 Level 3'!W11+'[6]Table 4 Level 3'!AA11+'[6]Table 4 Level 3'!AE11</f>
        <v>545.4799999999999</v>
      </c>
      <c r="Q11" s="508">
        <f>ROUND(P11*'Table 3 Levels 1&amp;2'!C13,0)</f>
        <v>3295245</v>
      </c>
      <c r="R11" s="508">
        <f t="shared" si="8"/>
        <v>4120448</v>
      </c>
    </row>
    <row r="12" spans="1:18">
      <c r="A12" s="257">
        <v>7</v>
      </c>
      <c r="B12" s="258" t="s">
        <v>185</v>
      </c>
      <c r="C12" s="505">
        <v>0</v>
      </c>
      <c r="D12" s="505">
        <v>0</v>
      </c>
      <c r="E12" s="505">
        <f t="shared" si="5"/>
        <v>0</v>
      </c>
      <c r="F12" s="506">
        <f>'[5]Table 4 Level 3'!F12+'[5]Table 4 Level 3'!H12</f>
        <v>0</v>
      </c>
      <c r="G12" s="506">
        <f t="shared" si="1"/>
        <v>0</v>
      </c>
      <c r="H12" s="506">
        <f t="shared" si="6"/>
        <v>0</v>
      </c>
      <c r="I12" s="507">
        <f>IF(F12&lt;0,0,'Table 3 Levels 1&amp;2'!C14)</f>
        <v>2201</v>
      </c>
      <c r="J12" s="508">
        <f t="shared" si="2"/>
        <v>80557</v>
      </c>
      <c r="K12" s="509">
        <v>0</v>
      </c>
      <c r="L12" s="508">
        <f t="shared" si="3"/>
        <v>0</v>
      </c>
      <c r="M12" s="507">
        <f>'Table 3 Levels 1&amp;2'!C14</f>
        <v>2201</v>
      </c>
      <c r="N12" s="508">
        <f t="shared" si="4"/>
        <v>220100</v>
      </c>
      <c r="O12" s="508">
        <f t="shared" si="7"/>
        <v>300657</v>
      </c>
      <c r="P12" s="259">
        <f>'[6]Table 4 Level 3'!C12+'[6]Table 4 Level 3'!W12+'[6]Table 4 Level 3'!AA12+'[6]Table 4 Level 3'!AE12</f>
        <v>756.91999999999985</v>
      </c>
      <c r="Q12" s="508">
        <f>ROUND(P12*'Table 3 Levels 1&amp;2'!C14,0)</f>
        <v>1665981</v>
      </c>
      <c r="R12" s="508">
        <f t="shared" si="8"/>
        <v>1966638</v>
      </c>
    </row>
    <row r="13" spans="1:18">
      <c r="A13" s="257">
        <v>8</v>
      </c>
      <c r="B13" s="258" t="s">
        <v>186</v>
      </c>
      <c r="C13" s="505">
        <v>0</v>
      </c>
      <c r="D13" s="505">
        <v>0</v>
      </c>
      <c r="E13" s="505">
        <f t="shared" si="5"/>
        <v>0</v>
      </c>
      <c r="F13" s="506">
        <f>'[5]Table 4 Level 3'!F13+'[5]Table 4 Level 3'!H13</f>
        <v>0</v>
      </c>
      <c r="G13" s="506">
        <f t="shared" si="1"/>
        <v>0</v>
      </c>
      <c r="H13" s="506">
        <f t="shared" si="6"/>
        <v>0</v>
      </c>
      <c r="I13" s="507">
        <f>IF(F13&lt;0,0,'Table 3 Levels 1&amp;2'!C15)</f>
        <v>20302</v>
      </c>
      <c r="J13" s="508">
        <f t="shared" si="2"/>
        <v>743061</v>
      </c>
      <c r="K13" s="509">
        <v>5</v>
      </c>
      <c r="L13" s="508">
        <f t="shared" si="3"/>
        <v>100000</v>
      </c>
      <c r="M13" s="507">
        <f>'Table 3 Levels 1&amp;2'!C15</f>
        <v>20302</v>
      </c>
      <c r="N13" s="508">
        <f t="shared" si="4"/>
        <v>2030200</v>
      </c>
      <c r="O13" s="508">
        <f t="shared" si="7"/>
        <v>2873261</v>
      </c>
      <c r="P13" s="259">
        <f>'[6]Table 4 Level 3'!C13+'[6]Table 4 Level 3'!W13+'[6]Table 4 Level 3'!AA13+'[6]Table 4 Level 3'!AE13</f>
        <v>725.76</v>
      </c>
      <c r="Q13" s="508">
        <f>ROUND(P13*'Table 3 Levels 1&amp;2'!C15,0)</f>
        <v>14734380</v>
      </c>
      <c r="R13" s="508">
        <f t="shared" si="8"/>
        <v>17607641</v>
      </c>
    </row>
    <row r="14" spans="1:18">
      <c r="A14" s="257">
        <v>9</v>
      </c>
      <c r="B14" s="258" t="s">
        <v>77</v>
      </c>
      <c r="C14" s="505">
        <v>0</v>
      </c>
      <c r="D14" s="505">
        <v>0</v>
      </c>
      <c r="E14" s="505">
        <f t="shared" si="5"/>
        <v>0</v>
      </c>
      <c r="F14" s="506">
        <f>'[5]Table 4 Level 3'!F14+'[5]Table 4 Level 3'!H14</f>
        <v>0</v>
      </c>
      <c r="G14" s="506">
        <f t="shared" si="1"/>
        <v>0</v>
      </c>
      <c r="H14" s="506">
        <f t="shared" si="6"/>
        <v>0</v>
      </c>
      <c r="I14" s="507">
        <f>IF(F14&lt;0,0,'Table 3 Levels 1&amp;2'!C16)</f>
        <v>41412</v>
      </c>
      <c r="J14" s="508">
        <f t="shared" si="2"/>
        <v>1515696</v>
      </c>
      <c r="K14" s="509">
        <v>17</v>
      </c>
      <c r="L14" s="508">
        <f t="shared" si="3"/>
        <v>340000</v>
      </c>
      <c r="M14" s="507">
        <f>'Table 3 Levels 1&amp;2'!C16</f>
        <v>41412</v>
      </c>
      <c r="N14" s="508">
        <f t="shared" si="4"/>
        <v>4141200</v>
      </c>
      <c r="O14" s="508">
        <f t="shared" si="7"/>
        <v>5996896</v>
      </c>
      <c r="P14" s="259">
        <f>'[6]Table 4 Level 3'!C14+'[6]Table 4 Level 3'!W14+'[6]Table 4 Level 3'!AA14+'[6]Table 4 Level 3'!AE14</f>
        <v>744.76</v>
      </c>
      <c r="Q14" s="516">
        <f>'Table 5B2_RSD_LA'!G31</f>
        <v>30842001.120000001</v>
      </c>
      <c r="R14" s="508">
        <f t="shared" si="8"/>
        <v>36838897.120000005</v>
      </c>
    </row>
    <row r="15" spans="1:18">
      <c r="A15" s="266">
        <v>10</v>
      </c>
      <c r="B15" s="267" t="s">
        <v>187</v>
      </c>
      <c r="C15" s="511">
        <v>0</v>
      </c>
      <c r="D15" s="511">
        <v>0</v>
      </c>
      <c r="E15" s="511">
        <f t="shared" si="5"/>
        <v>0</v>
      </c>
      <c r="F15" s="512">
        <f>'[5]Table 4 Level 3'!F15+'[5]Table 4 Level 3'!H15</f>
        <v>0</v>
      </c>
      <c r="G15" s="512">
        <f t="shared" si="1"/>
        <v>0</v>
      </c>
      <c r="H15" s="512">
        <f t="shared" si="6"/>
        <v>0</v>
      </c>
      <c r="I15" s="513">
        <f>IF(F15&lt;0,0,'Table 3 Levels 1&amp;2'!C17)</f>
        <v>31370</v>
      </c>
      <c r="J15" s="514">
        <f t="shared" si="2"/>
        <v>1148155</v>
      </c>
      <c r="K15" s="515">
        <v>23</v>
      </c>
      <c r="L15" s="514">
        <f t="shared" si="3"/>
        <v>460000</v>
      </c>
      <c r="M15" s="513">
        <f>'Table 3 Levels 1&amp;2'!C17</f>
        <v>31370</v>
      </c>
      <c r="N15" s="514">
        <f t="shared" si="4"/>
        <v>3137000</v>
      </c>
      <c r="O15" s="514">
        <f t="shared" si="7"/>
        <v>4745155</v>
      </c>
      <c r="P15" s="268">
        <f>'[6]Table 4 Level 3'!C15+'[6]Table 4 Level 3'!W15+'[6]Table 4 Level 3'!AA15+'[6]Table 4 Level 3'!AE15</f>
        <v>608.04000000000008</v>
      </c>
      <c r="Q15" s="514">
        <f>ROUND(P15*'Table 3 Levels 1&amp;2'!C17,0)</f>
        <v>19074215</v>
      </c>
      <c r="R15" s="514">
        <f t="shared" si="8"/>
        <v>23819370</v>
      </c>
    </row>
    <row r="16" spans="1:18">
      <c r="A16" s="257">
        <v>11</v>
      </c>
      <c r="B16" s="258" t="s">
        <v>188</v>
      </c>
      <c r="C16" s="505">
        <v>0</v>
      </c>
      <c r="D16" s="505">
        <v>0</v>
      </c>
      <c r="E16" s="505">
        <f t="shared" si="5"/>
        <v>0</v>
      </c>
      <c r="F16" s="506">
        <f>'[5]Table 4 Level 3'!F16+'[5]Table 4 Level 3'!H16</f>
        <v>0</v>
      </c>
      <c r="G16" s="506">
        <f t="shared" si="1"/>
        <v>0</v>
      </c>
      <c r="H16" s="506">
        <f t="shared" si="6"/>
        <v>0</v>
      </c>
      <c r="I16" s="507">
        <f>IF(F16&lt;0,0,'Table 3 Levels 1&amp;2'!C18)</f>
        <v>1605</v>
      </c>
      <c r="J16" s="508">
        <f t="shared" si="2"/>
        <v>58744</v>
      </c>
      <c r="K16" s="509">
        <v>0</v>
      </c>
      <c r="L16" s="508">
        <f t="shared" si="3"/>
        <v>0</v>
      </c>
      <c r="M16" s="507">
        <f>'Table 3 Levels 1&amp;2'!C18</f>
        <v>1605</v>
      </c>
      <c r="N16" s="508">
        <f t="shared" si="4"/>
        <v>160500</v>
      </c>
      <c r="O16" s="508">
        <f t="shared" si="7"/>
        <v>219244</v>
      </c>
      <c r="P16" s="259">
        <f>'[6]Table 4 Level 3'!C16+'[6]Table 4 Level 3'!W16+'[6]Table 4 Level 3'!AA16+'[6]Table 4 Level 3'!AE16</f>
        <v>706.55</v>
      </c>
      <c r="Q16" s="508">
        <f>ROUND(P16*'Table 3 Levels 1&amp;2'!C18,0)</f>
        <v>1134013</v>
      </c>
      <c r="R16" s="508">
        <f t="shared" si="8"/>
        <v>1353257</v>
      </c>
    </row>
    <row r="17" spans="1:18">
      <c r="A17" s="257">
        <v>12</v>
      </c>
      <c r="B17" s="258" t="s">
        <v>189</v>
      </c>
      <c r="C17" s="505">
        <v>0</v>
      </c>
      <c r="D17" s="505">
        <v>0</v>
      </c>
      <c r="E17" s="505">
        <f t="shared" si="5"/>
        <v>0</v>
      </c>
      <c r="F17" s="506">
        <f>'[5]Table 4 Level 3'!F17+'[5]Table 4 Level 3'!H17</f>
        <v>0</v>
      </c>
      <c r="G17" s="506">
        <f t="shared" si="1"/>
        <v>0</v>
      </c>
      <c r="H17" s="506">
        <f t="shared" si="6"/>
        <v>0</v>
      </c>
      <c r="I17" s="507">
        <f>IF(F17&lt;0,0,'Table 3 Levels 1&amp;2'!C19)</f>
        <v>1240</v>
      </c>
      <c r="J17" s="508">
        <f t="shared" si="2"/>
        <v>45384</v>
      </c>
      <c r="K17" s="509">
        <v>0</v>
      </c>
      <c r="L17" s="508">
        <f t="shared" si="3"/>
        <v>0</v>
      </c>
      <c r="M17" s="507">
        <f>'Table 3 Levels 1&amp;2'!C19</f>
        <v>1240</v>
      </c>
      <c r="N17" s="508">
        <f t="shared" si="4"/>
        <v>124000</v>
      </c>
      <c r="O17" s="508">
        <f t="shared" si="7"/>
        <v>169384</v>
      </c>
      <c r="P17" s="259">
        <f>'[6]Table 4 Level 3'!C17+'[6]Table 4 Level 3'!W17+'[6]Table 4 Level 3'!AA17+'[6]Table 4 Level 3'!AE17</f>
        <v>1063.31</v>
      </c>
      <c r="Q17" s="508">
        <f>ROUND(P17*'Table 3 Levels 1&amp;2'!C19,0)</f>
        <v>1318504</v>
      </c>
      <c r="R17" s="508">
        <f t="shared" si="8"/>
        <v>1487888</v>
      </c>
    </row>
    <row r="18" spans="1:18">
      <c r="A18" s="257">
        <v>13</v>
      </c>
      <c r="B18" s="258" t="s">
        <v>190</v>
      </c>
      <c r="C18" s="505">
        <v>0</v>
      </c>
      <c r="D18" s="505">
        <v>0</v>
      </c>
      <c r="E18" s="505">
        <f t="shared" si="5"/>
        <v>0</v>
      </c>
      <c r="F18" s="506">
        <f>'[5]Table 4 Level 3'!F18+'[5]Table 4 Level 3'!H18</f>
        <v>0</v>
      </c>
      <c r="G18" s="506">
        <f t="shared" si="1"/>
        <v>0</v>
      </c>
      <c r="H18" s="506">
        <f t="shared" si="6"/>
        <v>0</v>
      </c>
      <c r="I18" s="507">
        <f>IF(F18&lt;0,0,'Table 3 Levels 1&amp;2'!C20)</f>
        <v>1515</v>
      </c>
      <c r="J18" s="508">
        <f t="shared" si="2"/>
        <v>55450</v>
      </c>
      <c r="K18" s="509">
        <v>0</v>
      </c>
      <c r="L18" s="508">
        <f t="shared" si="3"/>
        <v>0</v>
      </c>
      <c r="M18" s="507">
        <f>'Table 3 Levels 1&amp;2'!C20</f>
        <v>1515</v>
      </c>
      <c r="N18" s="508">
        <f t="shared" si="4"/>
        <v>151500</v>
      </c>
      <c r="O18" s="508">
        <f t="shared" si="7"/>
        <v>206950</v>
      </c>
      <c r="P18" s="259">
        <f>'[6]Table 4 Level 3'!C18+'[6]Table 4 Level 3'!W18+'[6]Table 4 Level 3'!AA18+'[6]Table 4 Level 3'!AE18</f>
        <v>749.43000000000006</v>
      </c>
      <c r="Q18" s="508">
        <f>ROUND(P18*'Table 3 Levels 1&amp;2'!C20,0)</f>
        <v>1135386</v>
      </c>
      <c r="R18" s="508">
        <f t="shared" si="8"/>
        <v>1342336</v>
      </c>
    </row>
    <row r="19" spans="1:18">
      <c r="A19" s="257">
        <v>14</v>
      </c>
      <c r="B19" s="258" t="s">
        <v>191</v>
      </c>
      <c r="C19" s="505">
        <v>0</v>
      </c>
      <c r="D19" s="505">
        <v>0</v>
      </c>
      <c r="E19" s="505">
        <f t="shared" si="5"/>
        <v>0</v>
      </c>
      <c r="F19" s="506">
        <f>'[5]Table 4 Level 3'!F19+'[5]Table 4 Level 3'!H19</f>
        <v>0</v>
      </c>
      <c r="G19" s="506">
        <f t="shared" si="1"/>
        <v>0</v>
      </c>
      <c r="H19" s="506">
        <f t="shared" si="6"/>
        <v>0</v>
      </c>
      <c r="I19" s="507">
        <f>IF(F19&lt;0,0,'Table 3 Levels 1&amp;2'!C21)</f>
        <v>2009</v>
      </c>
      <c r="J19" s="508">
        <f t="shared" si="2"/>
        <v>73530</v>
      </c>
      <c r="K19" s="509">
        <v>0</v>
      </c>
      <c r="L19" s="508">
        <f t="shared" si="3"/>
        <v>0</v>
      </c>
      <c r="M19" s="507">
        <f>'Table 3 Levels 1&amp;2'!C21</f>
        <v>2009</v>
      </c>
      <c r="N19" s="508">
        <f t="shared" si="4"/>
        <v>200900</v>
      </c>
      <c r="O19" s="508">
        <f t="shared" si="7"/>
        <v>274430</v>
      </c>
      <c r="P19" s="259">
        <f>'[6]Table 4 Level 3'!C19+'[6]Table 4 Level 3'!W19+'[6]Table 4 Level 3'!AA19+'[6]Table 4 Level 3'!AE19</f>
        <v>809.9799999999999</v>
      </c>
      <c r="Q19" s="508">
        <f>ROUND(P19*'Table 3 Levels 1&amp;2'!C21,0)</f>
        <v>1627250</v>
      </c>
      <c r="R19" s="508">
        <f t="shared" si="8"/>
        <v>1901680</v>
      </c>
    </row>
    <row r="20" spans="1:18">
      <c r="A20" s="266">
        <v>15</v>
      </c>
      <c r="B20" s="267" t="s">
        <v>192</v>
      </c>
      <c r="C20" s="511">
        <v>224419</v>
      </c>
      <c r="D20" s="517">
        <v>0</v>
      </c>
      <c r="E20" s="511">
        <f t="shared" si="5"/>
        <v>224419</v>
      </c>
      <c r="F20" s="512">
        <f>'[5]Table 4 Level 3'!F20+'[5]Table 4 Level 3'!H20</f>
        <v>-89768</v>
      </c>
      <c r="G20" s="512">
        <f t="shared" si="1"/>
        <v>134651</v>
      </c>
      <c r="H20" s="512">
        <f t="shared" si="6"/>
        <v>-22442</v>
      </c>
      <c r="I20" s="513">
        <f>IF(F20&lt;0,0,'Table 3 Levels 1&amp;2'!C22)</f>
        <v>0</v>
      </c>
      <c r="J20" s="514">
        <f t="shared" si="2"/>
        <v>0</v>
      </c>
      <c r="K20" s="515">
        <v>1</v>
      </c>
      <c r="L20" s="514">
        <f t="shared" si="3"/>
        <v>20000</v>
      </c>
      <c r="M20" s="513">
        <f>'Table 3 Levels 1&amp;2'!C22</f>
        <v>3692</v>
      </c>
      <c r="N20" s="514">
        <f t="shared" si="4"/>
        <v>369200</v>
      </c>
      <c r="O20" s="514">
        <f t="shared" si="7"/>
        <v>501409</v>
      </c>
      <c r="P20" s="268">
        <f>'[6]Table 4 Level 3'!C20+'[6]Table 4 Level 3'!W20+'[6]Table 4 Level 3'!AA20+'[6]Table 4 Level 3'!AE20</f>
        <v>553.79999999999995</v>
      </c>
      <c r="Q20" s="514">
        <f>ROUND(P20*'Table 3 Levels 1&amp;2'!C22,0)</f>
        <v>2044630</v>
      </c>
      <c r="R20" s="514">
        <f t="shared" si="8"/>
        <v>2546039</v>
      </c>
    </row>
    <row r="21" spans="1:18">
      <c r="A21" s="257">
        <v>16</v>
      </c>
      <c r="B21" s="258" t="s">
        <v>193</v>
      </c>
      <c r="C21" s="505">
        <v>0</v>
      </c>
      <c r="D21" s="505">
        <v>0</v>
      </c>
      <c r="E21" s="505">
        <f t="shared" si="5"/>
        <v>0</v>
      </c>
      <c r="F21" s="506">
        <f>'[5]Table 4 Level 3'!F21+'[5]Table 4 Level 3'!H21</f>
        <v>0</v>
      </c>
      <c r="G21" s="506">
        <f t="shared" si="1"/>
        <v>0</v>
      </c>
      <c r="H21" s="506">
        <f t="shared" si="6"/>
        <v>0</v>
      </c>
      <c r="I21" s="507">
        <f>IF(F21&lt;0,0,'Table 3 Levels 1&amp;2'!C23)</f>
        <v>4677</v>
      </c>
      <c r="J21" s="508">
        <f t="shared" si="2"/>
        <v>171180</v>
      </c>
      <c r="K21" s="509">
        <v>2</v>
      </c>
      <c r="L21" s="508">
        <f t="shared" si="3"/>
        <v>40000</v>
      </c>
      <c r="M21" s="507">
        <f>'Table 3 Levels 1&amp;2'!C23</f>
        <v>4677</v>
      </c>
      <c r="N21" s="508">
        <f t="shared" si="4"/>
        <v>467700</v>
      </c>
      <c r="O21" s="508">
        <f t="shared" si="7"/>
        <v>678880</v>
      </c>
      <c r="P21" s="259">
        <f>'[6]Table 4 Level 3'!C21+'[6]Table 4 Level 3'!W21+'[6]Table 4 Level 3'!AA21+'[6]Table 4 Level 3'!AE21</f>
        <v>686.73</v>
      </c>
      <c r="Q21" s="508">
        <f>ROUND(P21*'Table 3 Levels 1&amp;2'!C23,0)</f>
        <v>3211836</v>
      </c>
      <c r="R21" s="508">
        <f t="shared" si="8"/>
        <v>3890716</v>
      </c>
    </row>
    <row r="22" spans="1:18">
      <c r="A22" s="257">
        <v>17</v>
      </c>
      <c r="B22" s="258" t="s">
        <v>75</v>
      </c>
      <c r="C22" s="505">
        <v>25595514</v>
      </c>
      <c r="D22" s="505">
        <v>13580692</v>
      </c>
      <c r="E22" s="505">
        <f t="shared" si="5"/>
        <v>12014822</v>
      </c>
      <c r="F22" s="506">
        <f>'[5]Table 4 Level 3'!F22+'[5]Table 4 Level 3'!H22</f>
        <v>-4805928</v>
      </c>
      <c r="G22" s="506">
        <f t="shared" si="1"/>
        <v>7208894</v>
      </c>
      <c r="H22" s="506">
        <f t="shared" si="6"/>
        <v>-1201482</v>
      </c>
      <c r="I22" s="507">
        <f>IF(F22&lt;0,0,'Table 3 Levels 1&amp;2'!C24)</f>
        <v>0</v>
      </c>
      <c r="J22" s="508">
        <f t="shared" si="2"/>
        <v>0</v>
      </c>
      <c r="K22" s="509">
        <v>11</v>
      </c>
      <c r="L22" s="508">
        <f t="shared" si="3"/>
        <v>220000</v>
      </c>
      <c r="M22" s="507">
        <f>'Table 3 Levels 1&amp;2'!C24</f>
        <v>43218</v>
      </c>
      <c r="N22" s="508">
        <f t="shared" si="4"/>
        <v>4321800</v>
      </c>
      <c r="O22" s="508">
        <f t="shared" si="7"/>
        <v>24129904</v>
      </c>
      <c r="P22" s="259" t="s">
        <v>401</v>
      </c>
      <c r="Q22" s="516">
        <f>'Table 5B2_RSD_LA'!G19+'Table 5C1 - Type 2s'!F6</f>
        <v>34625460.180009969</v>
      </c>
      <c r="R22" s="508">
        <f t="shared" si="8"/>
        <v>58755364.180009969</v>
      </c>
    </row>
    <row r="23" spans="1:18">
      <c r="A23" s="257">
        <v>18</v>
      </c>
      <c r="B23" s="258" t="s">
        <v>194</v>
      </c>
      <c r="C23" s="505">
        <v>0</v>
      </c>
      <c r="D23" s="505">
        <v>0</v>
      </c>
      <c r="E23" s="505">
        <f t="shared" si="5"/>
        <v>0</v>
      </c>
      <c r="F23" s="506">
        <f>'[5]Table 4 Level 3'!F23+'[5]Table 4 Level 3'!H23</f>
        <v>0</v>
      </c>
      <c r="G23" s="506">
        <f t="shared" si="1"/>
        <v>0</v>
      </c>
      <c r="H23" s="506">
        <f t="shared" si="6"/>
        <v>0</v>
      </c>
      <c r="I23" s="507">
        <f>IF(F23&lt;0,0,'Table 3 Levels 1&amp;2'!C25)</f>
        <v>1163</v>
      </c>
      <c r="J23" s="508">
        <f t="shared" si="2"/>
        <v>42566</v>
      </c>
      <c r="K23" s="509">
        <v>2</v>
      </c>
      <c r="L23" s="508">
        <f t="shared" si="3"/>
        <v>40000</v>
      </c>
      <c r="M23" s="507">
        <f>'Table 3 Levels 1&amp;2'!C25</f>
        <v>1163</v>
      </c>
      <c r="N23" s="508">
        <f t="shared" si="4"/>
        <v>116300</v>
      </c>
      <c r="O23" s="508">
        <f t="shared" si="7"/>
        <v>198866</v>
      </c>
      <c r="P23" s="259">
        <f>'[6]Table 4 Level 3'!C23+'[6]Table 4 Level 3'!W23+'[6]Table 4 Level 3'!AA23+'[6]Table 4 Level 3'!AE23</f>
        <v>845.94999999999993</v>
      </c>
      <c r="Q23" s="508">
        <f>ROUND(P23*'Table 3 Levels 1&amp;2'!C25,0)</f>
        <v>983840</v>
      </c>
      <c r="R23" s="508">
        <f t="shared" si="8"/>
        <v>1182706</v>
      </c>
    </row>
    <row r="24" spans="1:18">
      <c r="A24" s="257">
        <v>19</v>
      </c>
      <c r="B24" s="258" t="s">
        <v>195</v>
      </c>
      <c r="C24" s="505">
        <v>0</v>
      </c>
      <c r="D24" s="505">
        <v>0</v>
      </c>
      <c r="E24" s="505">
        <f t="shared" si="5"/>
        <v>0</v>
      </c>
      <c r="F24" s="506">
        <f>'[5]Table 4 Level 3'!F24+'[5]Table 4 Level 3'!H24</f>
        <v>0</v>
      </c>
      <c r="G24" s="506">
        <f t="shared" si="1"/>
        <v>0</v>
      </c>
      <c r="H24" s="506">
        <f t="shared" si="6"/>
        <v>0</v>
      </c>
      <c r="I24" s="507">
        <f>IF(F24&lt;0,0,'Table 3 Levels 1&amp;2'!C26)</f>
        <v>1958</v>
      </c>
      <c r="J24" s="508">
        <f t="shared" si="2"/>
        <v>71664</v>
      </c>
      <c r="K24" s="509">
        <v>0</v>
      </c>
      <c r="L24" s="508">
        <f t="shared" si="3"/>
        <v>0</v>
      </c>
      <c r="M24" s="507">
        <f>'Table 3 Levels 1&amp;2'!C26</f>
        <v>1958</v>
      </c>
      <c r="N24" s="508">
        <f t="shared" si="4"/>
        <v>195800</v>
      </c>
      <c r="O24" s="508">
        <f t="shared" si="7"/>
        <v>267464</v>
      </c>
      <c r="P24" s="259">
        <f>'[6]Table 4 Level 3'!C24+'[6]Table 4 Level 3'!W24+'[6]Table 4 Level 3'!AA24+'[6]Table 4 Level 3'!AE24</f>
        <v>905.43</v>
      </c>
      <c r="Q24" s="508">
        <f>ROUND(P24*'Table 3 Levels 1&amp;2'!C26,0)</f>
        <v>1772832</v>
      </c>
      <c r="R24" s="508">
        <f t="shared" si="8"/>
        <v>2040296</v>
      </c>
    </row>
    <row r="25" spans="1:18">
      <c r="A25" s="266">
        <v>20</v>
      </c>
      <c r="B25" s="267" t="s">
        <v>196</v>
      </c>
      <c r="C25" s="511">
        <v>175620</v>
      </c>
      <c r="D25" s="511">
        <v>0</v>
      </c>
      <c r="E25" s="511">
        <f t="shared" si="5"/>
        <v>175620</v>
      </c>
      <c r="F25" s="512">
        <f>'[5]Table 4 Level 3'!F25+'[5]Table 4 Level 3'!H25</f>
        <v>-70248</v>
      </c>
      <c r="G25" s="512">
        <f t="shared" si="1"/>
        <v>105372</v>
      </c>
      <c r="H25" s="512">
        <f t="shared" si="6"/>
        <v>-17562</v>
      </c>
      <c r="I25" s="513">
        <f>IF(F25&lt;0,0,'Table 3 Levels 1&amp;2'!C27)</f>
        <v>0</v>
      </c>
      <c r="J25" s="514">
        <f t="shared" si="2"/>
        <v>0</v>
      </c>
      <c r="K25" s="515">
        <v>0</v>
      </c>
      <c r="L25" s="514">
        <f t="shared" si="3"/>
        <v>0</v>
      </c>
      <c r="M25" s="513">
        <f>'Table 3 Levels 1&amp;2'!C27</f>
        <v>5699</v>
      </c>
      <c r="N25" s="514">
        <f t="shared" si="4"/>
        <v>569900</v>
      </c>
      <c r="O25" s="514">
        <f t="shared" si="7"/>
        <v>657710</v>
      </c>
      <c r="P25" s="268">
        <f>'[6]Table 4 Level 3'!C25+'[6]Table 4 Level 3'!W25+'[6]Table 4 Level 3'!AA25+'[6]Table 4 Level 3'!AE25</f>
        <v>586.16999999999996</v>
      </c>
      <c r="Q25" s="514">
        <f>ROUND(P25*'Table 3 Levels 1&amp;2'!C27,0)</f>
        <v>3340583</v>
      </c>
      <c r="R25" s="514">
        <f t="shared" si="8"/>
        <v>3998293</v>
      </c>
    </row>
    <row r="26" spans="1:18">
      <c r="A26" s="257">
        <v>21</v>
      </c>
      <c r="B26" s="258" t="s">
        <v>197</v>
      </c>
      <c r="C26" s="505">
        <v>0</v>
      </c>
      <c r="D26" s="505">
        <v>0</v>
      </c>
      <c r="E26" s="505">
        <f t="shared" si="5"/>
        <v>0</v>
      </c>
      <c r="F26" s="506">
        <f>'[5]Table 4 Level 3'!F26+'[5]Table 4 Level 3'!H26</f>
        <v>0</v>
      </c>
      <c r="G26" s="506">
        <f t="shared" si="1"/>
        <v>0</v>
      </c>
      <c r="H26" s="506">
        <f t="shared" si="6"/>
        <v>0</v>
      </c>
      <c r="I26" s="507">
        <f>IF(F26&lt;0,0,'Table 3 Levels 1&amp;2'!C28)</f>
        <v>2902</v>
      </c>
      <c r="J26" s="508">
        <f t="shared" si="2"/>
        <v>106214</v>
      </c>
      <c r="K26" s="509">
        <v>0</v>
      </c>
      <c r="L26" s="508">
        <f t="shared" si="3"/>
        <v>0</v>
      </c>
      <c r="M26" s="507">
        <f>'Table 3 Levels 1&amp;2'!C28</f>
        <v>2902</v>
      </c>
      <c r="N26" s="508">
        <f t="shared" si="4"/>
        <v>290200</v>
      </c>
      <c r="O26" s="508">
        <f t="shared" si="7"/>
        <v>396414</v>
      </c>
      <c r="P26" s="259">
        <f>'[6]Table 4 Level 3'!C26+'[6]Table 4 Level 3'!W26+'[6]Table 4 Level 3'!AA26+'[6]Table 4 Level 3'!AE26</f>
        <v>610.35</v>
      </c>
      <c r="Q26" s="508">
        <f>ROUND(P26*'Table 3 Levels 1&amp;2'!C28,0)</f>
        <v>1771236</v>
      </c>
      <c r="R26" s="508">
        <f t="shared" si="8"/>
        <v>2167650</v>
      </c>
    </row>
    <row r="27" spans="1:18">
      <c r="A27" s="257">
        <v>22</v>
      </c>
      <c r="B27" s="258" t="s">
        <v>198</v>
      </c>
      <c r="C27" s="505">
        <v>0</v>
      </c>
      <c r="D27" s="505">
        <v>0</v>
      </c>
      <c r="E27" s="505">
        <f t="shared" si="5"/>
        <v>0</v>
      </c>
      <c r="F27" s="506">
        <f>'[5]Table 4 Level 3'!F27+'[5]Table 4 Level 3'!H27</f>
        <v>0</v>
      </c>
      <c r="G27" s="506">
        <f t="shared" si="1"/>
        <v>0</v>
      </c>
      <c r="H27" s="506">
        <f t="shared" si="6"/>
        <v>0</v>
      </c>
      <c r="I27" s="507">
        <f>IF(F27&lt;0,0,'Table 3 Levels 1&amp;2'!C29)</f>
        <v>3306</v>
      </c>
      <c r="J27" s="508">
        <f t="shared" si="2"/>
        <v>121001</v>
      </c>
      <c r="K27" s="509">
        <v>0</v>
      </c>
      <c r="L27" s="508">
        <f t="shared" si="3"/>
        <v>0</v>
      </c>
      <c r="M27" s="507">
        <f>'Table 3 Levels 1&amp;2'!C29</f>
        <v>3306</v>
      </c>
      <c r="N27" s="508">
        <f t="shared" si="4"/>
        <v>330600</v>
      </c>
      <c r="O27" s="508">
        <f t="shared" si="7"/>
        <v>451601</v>
      </c>
      <c r="P27" s="259">
        <f>'[6]Table 4 Level 3'!C27+'[6]Table 4 Level 3'!W27+'[6]Table 4 Level 3'!AA27+'[6]Table 4 Level 3'!AE27</f>
        <v>496.36</v>
      </c>
      <c r="Q27" s="508">
        <f>ROUND(P27*'Table 3 Levels 1&amp;2'!C29,0)</f>
        <v>1640966</v>
      </c>
      <c r="R27" s="508">
        <f t="shared" si="8"/>
        <v>2092567</v>
      </c>
    </row>
    <row r="28" spans="1:18">
      <c r="A28" s="257">
        <v>23</v>
      </c>
      <c r="B28" s="258" t="s">
        <v>199</v>
      </c>
      <c r="C28" s="505">
        <v>0</v>
      </c>
      <c r="D28" s="505">
        <v>0</v>
      </c>
      <c r="E28" s="505">
        <f t="shared" si="5"/>
        <v>0</v>
      </c>
      <c r="F28" s="506">
        <f>'[5]Table 4 Level 3'!F28+'[5]Table 4 Level 3'!H28</f>
        <v>0</v>
      </c>
      <c r="G28" s="506">
        <f t="shared" si="1"/>
        <v>0</v>
      </c>
      <c r="H28" s="506">
        <f t="shared" si="6"/>
        <v>0</v>
      </c>
      <c r="I28" s="507">
        <f>IF(F28&lt;0,0,'Table 3 Levels 1&amp;2'!C30)</f>
        <v>13151</v>
      </c>
      <c r="J28" s="508">
        <f t="shared" si="2"/>
        <v>481332</v>
      </c>
      <c r="K28" s="509">
        <v>9</v>
      </c>
      <c r="L28" s="508">
        <f t="shared" si="3"/>
        <v>180000</v>
      </c>
      <c r="M28" s="507">
        <f>'Table 3 Levels 1&amp;2'!C30</f>
        <v>13151</v>
      </c>
      <c r="N28" s="508">
        <f t="shared" si="4"/>
        <v>1315100</v>
      </c>
      <c r="O28" s="508">
        <f t="shared" si="7"/>
        <v>1976432</v>
      </c>
      <c r="P28" s="259">
        <f>'[6]Table 4 Level 3'!C28+'[6]Table 4 Level 3'!W28+'[6]Table 4 Level 3'!AA28+'[6]Table 4 Level 3'!AE28</f>
        <v>688.58</v>
      </c>
      <c r="Q28" s="508">
        <f>ROUND(P28*'Table 3 Levels 1&amp;2'!C30,0)</f>
        <v>9055516</v>
      </c>
      <c r="R28" s="508">
        <f t="shared" si="8"/>
        <v>11031948</v>
      </c>
    </row>
    <row r="29" spans="1:18">
      <c r="A29" s="257">
        <v>24</v>
      </c>
      <c r="B29" s="258" t="s">
        <v>200</v>
      </c>
      <c r="C29" s="505">
        <v>2421938</v>
      </c>
      <c r="D29" s="505">
        <v>1654734</v>
      </c>
      <c r="E29" s="505">
        <f t="shared" si="5"/>
        <v>767204</v>
      </c>
      <c r="F29" s="506">
        <f>'[5]Table 4 Level 3'!F29+'[5]Table 4 Level 3'!H29</f>
        <v>-306881</v>
      </c>
      <c r="G29" s="506">
        <f t="shared" si="1"/>
        <v>460323</v>
      </c>
      <c r="H29" s="506">
        <f t="shared" si="6"/>
        <v>-76721</v>
      </c>
      <c r="I29" s="507">
        <f>IF(F29&lt;0,0,'Table 3 Levels 1&amp;2'!C31)</f>
        <v>0</v>
      </c>
      <c r="J29" s="508">
        <f t="shared" si="2"/>
        <v>0</v>
      </c>
      <c r="K29" s="509">
        <v>0</v>
      </c>
      <c r="L29" s="508">
        <f t="shared" si="3"/>
        <v>0</v>
      </c>
      <c r="M29" s="507">
        <f>'Table 3 Levels 1&amp;2'!C31</f>
        <v>4369</v>
      </c>
      <c r="N29" s="508">
        <f t="shared" si="4"/>
        <v>436900</v>
      </c>
      <c r="O29" s="508">
        <f t="shared" si="7"/>
        <v>2475236</v>
      </c>
      <c r="P29" s="259">
        <f>'[6]Table 4 Level 3'!C29+'[6]Table 4 Level 3'!W29+'[6]Table 4 Level 3'!AA29+'[6]Table 4 Level 3'!AE29</f>
        <v>854.24999999999989</v>
      </c>
      <c r="Q29" s="508">
        <f>ROUND(P29*'Table 3 Levels 1&amp;2'!C31,0)</f>
        <v>3732218</v>
      </c>
      <c r="R29" s="508">
        <f t="shared" si="8"/>
        <v>6207454</v>
      </c>
    </row>
    <row r="30" spans="1:18">
      <c r="A30" s="266">
        <v>25</v>
      </c>
      <c r="B30" s="267" t="s">
        <v>201</v>
      </c>
      <c r="C30" s="511">
        <v>0</v>
      </c>
      <c r="D30" s="511">
        <v>0</v>
      </c>
      <c r="E30" s="511">
        <f t="shared" si="5"/>
        <v>0</v>
      </c>
      <c r="F30" s="512">
        <f>'[5]Table 4 Level 3'!F30+'[5]Table 4 Level 3'!H30</f>
        <v>0</v>
      </c>
      <c r="G30" s="512">
        <f t="shared" si="1"/>
        <v>0</v>
      </c>
      <c r="H30" s="512">
        <f t="shared" si="6"/>
        <v>0</v>
      </c>
      <c r="I30" s="513">
        <f>IF(F30&lt;0,0,'Table 3 Levels 1&amp;2'!C32)</f>
        <v>2191</v>
      </c>
      <c r="J30" s="514">
        <f t="shared" si="2"/>
        <v>80191</v>
      </c>
      <c r="K30" s="515">
        <v>0</v>
      </c>
      <c r="L30" s="514">
        <f t="shared" si="3"/>
        <v>0</v>
      </c>
      <c r="M30" s="513">
        <f>'Table 3 Levels 1&amp;2'!C32</f>
        <v>2191</v>
      </c>
      <c r="N30" s="514">
        <f t="shared" si="4"/>
        <v>219100</v>
      </c>
      <c r="O30" s="514">
        <f t="shared" si="7"/>
        <v>299291</v>
      </c>
      <c r="P30" s="268">
        <f>'[6]Table 4 Level 3'!C30+'[6]Table 4 Level 3'!W30+'[6]Table 4 Level 3'!AA30+'[6]Table 4 Level 3'!AE30</f>
        <v>653.73</v>
      </c>
      <c r="Q30" s="514">
        <f>ROUND(P30*'Table 3 Levels 1&amp;2'!C32,0)</f>
        <v>1432322</v>
      </c>
      <c r="R30" s="514">
        <f t="shared" si="8"/>
        <v>1731613</v>
      </c>
    </row>
    <row r="31" spans="1:18">
      <c r="A31" s="257">
        <v>26</v>
      </c>
      <c r="B31" s="258" t="s">
        <v>202</v>
      </c>
      <c r="C31" s="505">
        <v>23386991</v>
      </c>
      <c r="D31" s="505">
        <v>14897747</v>
      </c>
      <c r="E31" s="505">
        <f t="shared" si="5"/>
        <v>8489244</v>
      </c>
      <c r="F31" s="506">
        <f>'[5]Table 4 Level 3'!F31+'[5]Table 4 Level 3'!H31</f>
        <v>-3395697</v>
      </c>
      <c r="G31" s="506">
        <f t="shared" si="1"/>
        <v>5093547</v>
      </c>
      <c r="H31" s="506">
        <f t="shared" si="6"/>
        <v>-848925</v>
      </c>
      <c r="I31" s="507">
        <f>IF(F31&lt;0,0,'Table 3 Levels 1&amp;2'!C33)</f>
        <v>0</v>
      </c>
      <c r="J31" s="508">
        <f t="shared" si="2"/>
        <v>0</v>
      </c>
      <c r="K31" s="509">
        <v>24</v>
      </c>
      <c r="L31" s="508">
        <f t="shared" si="3"/>
        <v>480000</v>
      </c>
      <c r="M31" s="507">
        <f>'Table 3 Levels 1&amp;2'!C33</f>
        <v>43040</v>
      </c>
      <c r="N31" s="508">
        <f t="shared" si="4"/>
        <v>4304000</v>
      </c>
      <c r="O31" s="508">
        <f t="shared" si="7"/>
        <v>23926369</v>
      </c>
      <c r="P31" s="259">
        <f>'[6]Table 4 Level 3'!C31+'[6]Table 4 Level 3'!W31+'[6]Table 4 Level 3'!AA31+'[6]Table 4 Level 3'!AE31</f>
        <v>836.83</v>
      </c>
      <c r="Q31" s="508">
        <f>ROUND(P31*'Table 3 Levels 1&amp;2'!C33,0)</f>
        <v>36017163</v>
      </c>
      <c r="R31" s="508">
        <f t="shared" si="8"/>
        <v>59943532</v>
      </c>
    </row>
    <row r="32" spans="1:18">
      <c r="A32" s="257">
        <v>27</v>
      </c>
      <c r="B32" s="258" t="s">
        <v>203</v>
      </c>
      <c r="C32" s="505">
        <v>0</v>
      </c>
      <c r="D32" s="505">
        <v>0</v>
      </c>
      <c r="E32" s="505">
        <f t="shared" si="5"/>
        <v>0</v>
      </c>
      <c r="F32" s="506">
        <f>'[5]Table 4 Level 3'!F32+'[5]Table 4 Level 3'!H32</f>
        <v>0</v>
      </c>
      <c r="G32" s="506">
        <f t="shared" si="1"/>
        <v>0</v>
      </c>
      <c r="H32" s="506">
        <f t="shared" si="6"/>
        <v>0</v>
      </c>
      <c r="I32" s="507">
        <f>IF(F32&lt;0,0,'Table 3 Levels 1&amp;2'!C34)</f>
        <v>5599</v>
      </c>
      <c r="J32" s="508">
        <f t="shared" si="2"/>
        <v>204926</v>
      </c>
      <c r="K32" s="509">
        <v>0</v>
      </c>
      <c r="L32" s="508">
        <f t="shared" si="3"/>
        <v>0</v>
      </c>
      <c r="M32" s="507">
        <f>'Table 3 Levels 1&amp;2'!C34</f>
        <v>5599</v>
      </c>
      <c r="N32" s="508">
        <f t="shared" si="4"/>
        <v>559900</v>
      </c>
      <c r="O32" s="508">
        <f t="shared" si="7"/>
        <v>764826</v>
      </c>
      <c r="P32" s="259">
        <f>'[6]Table 4 Level 3'!C32+'[6]Table 4 Level 3'!W32+'[6]Table 4 Level 3'!AA32+'[6]Table 4 Level 3'!AE32</f>
        <v>693.06</v>
      </c>
      <c r="Q32" s="508">
        <f>ROUND(P32*'Table 3 Levels 1&amp;2'!C34,0)</f>
        <v>3880443</v>
      </c>
      <c r="R32" s="508">
        <f t="shared" si="8"/>
        <v>4645269</v>
      </c>
    </row>
    <row r="33" spans="1:18">
      <c r="A33" s="257">
        <v>28</v>
      </c>
      <c r="B33" s="258" t="s">
        <v>204</v>
      </c>
      <c r="C33" s="505">
        <v>1996377</v>
      </c>
      <c r="D33" s="505">
        <v>1996377</v>
      </c>
      <c r="E33" s="505">
        <f t="shared" si="5"/>
        <v>0</v>
      </c>
      <c r="F33" s="506">
        <f>'[5]Table 4 Level 3'!F33+'[5]Table 4 Level 3'!H33</f>
        <v>0</v>
      </c>
      <c r="G33" s="506">
        <f t="shared" si="1"/>
        <v>0</v>
      </c>
      <c r="H33" s="506">
        <f t="shared" si="6"/>
        <v>0</v>
      </c>
      <c r="I33" s="507">
        <f>IF(F33&lt;0,0,'Table 3 Levels 1&amp;2'!C35)</f>
        <v>29511</v>
      </c>
      <c r="J33" s="508">
        <f t="shared" si="2"/>
        <v>1080114</v>
      </c>
      <c r="K33" s="509">
        <v>50</v>
      </c>
      <c r="L33" s="508">
        <f t="shared" si="3"/>
        <v>1000000</v>
      </c>
      <c r="M33" s="507">
        <f>'Table 3 Levels 1&amp;2'!C35</f>
        <v>29511</v>
      </c>
      <c r="N33" s="508">
        <f t="shared" si="4"/>
        <v>2951100</v>
      </c>
      <c r="O33" s="508">
        <f t="shared" si="7"/>
        <v>7027591</v>
      </c>
      <c r="P33" s="259">
        <f>'[6]Table 4 Level 3'!C33+'[6]Table 4 Level 3'!W33+'[6]Table 4 Level 3'!AA33+'[6]Table 4 Level 3'!AE33</f>
        <v>694.4</v>
      </c>
      <c r="Q33" s="508">
        <f>ROUND(P33*'Table 3 Levels 1&amp;2'!C35,0)</f>
        <v>20492438</v>
      </c>
      <c r="R33" s="508">
        <f t="shared" si="8"/>
        <v>27520029</v>
      </c>
    </row>
    <row r="34" spans="1:18">
      <c r="A34" s="257">
        <v>29</v>
      </c>
      <c r="B34" s="258" t="s">
        <v>205</v>
      </c>
      <c r="C34" s="505">
        <v>0</v>
      </c>
      <c r="D34" s="505">
        <v>0</v>
      </c>
      <c r="E34" s="505">
        <f t="shared" si="5"/>
        <v>0</v>
      </c>
      <c r="F34" s="506">
        <f>'[5]Table 4 Level 3'!F34+'[5]Table 4 Level 3'!H34</f>
        <v>0</v>
      </c>
      <c r="G34" s="506">
        <f t="shared" si="1"/>
        <v>0</v>
      </c>
      <c r="H34" s="506">
        <f t="shared" si="6"/>
        <v>0</v>
      </c>
      <c r="I34" s="507">
        <f>IF(F34&lt;0,0,'Table 3 Levels 1&amp;2'!C36)</f>
        <v>13458</v>
      </c>
      <c r="J34" s="508">
        <f t="shared" si="2"/>
        <v>492568</v>
      </c>
      <c r="K34" s="509">
        <v>39</v>
      </c>
      <c r="L34" s="508">
        <f t="shared" si="3"/>
        <v>780000</v>
      </c>
      <c r="M34" s="507">
        <f>'Table 3 Levels 1&amp;2'!C36</f>
        <v>13458</v>
      </c>
      <c r="N34" s="508">
        <f t="shared" si="4"/>
        <v>1345800</v>
      </c>
      <c r="O34" s="508">
        <f t="shared" si="7"/>
        <v>2618368</v>
      </c>
      <c r="P34" s="259">
        <f>'[6]Table 4 Level 3'!C34+'[6]Table 4 Level 3'!W34+'[6]Table 4 Level 3'!AA34+'[6]Table 4 Level 3'!AE34</f>
        <v>754.94999999999993</v>
      </c>
      <c r="Q34" s="508">
        <f>ROUND(P34*'Table 3 Levels 1&amp;2'!C36,0)</f>
        <v>10160117</v>
      </c>
      <c r="R34" s="508">
        <f t="shared" si="8"/>
        <v>12778485</v>
      </c>
    </row>
    <row r="35" spans="1:18">
      <c r="A35" s="266">
        <v>30</v>
      </c>
      <c r="B35" s="267" t="s">
        <v>206</v>
      </c>
      <c r="C35" s="511">
        <v>0</v>
      </c>
      <c r="D35" s="511">
        <v>0</v>
      </c>
      <c r="E35" s="511">
        <f t="shared" si="5"/>
        <v>0</v>
      </c>
      <c r="F35" s="512">
        <f>'[5]Table 4 Level 3'!F35+'[5]Table 4 Level 3'!H35</f>
        <v>0</v>
      </c>
      <c r="G35" s="512">
        <f t="shared" si="1"/>
        <v>0</v>
      </c>
      <c r="H35" s="512">
        <f t="shared" si="6"/>
        <v>0</v>
      </c>
      <c r="I35" s="513">
        <f>IF(F35&lt;0,0,'Table 3 Levels 1&amp;2'!C37)</f>
        <v>2440</v>
      </c>
      <c r="J35" s="514">
        <f t="shared" si="2"/>
        <v>89305</v>
      </c>
      <c r="K35" s="515">
        <v>0</v>
      </c>
      <c r="L35" s="514">
        <f t="shared" si="3"/>
        <v>0</v>
      </c>
      <c r="M35" s="513">
        <f>'Table 3 Levels 1&amp;2'!C37</f>
        <v>2440</v>
      </c>
      <c r="N35" s="514">
        <f t="shared" si="4"/>
        <v>244000</v>
      </c>
      <c r="O35" s="514">
        <f t="shared" si="7"/>
        <v>333305</v>
      </c>
      <c r="P35" s="268">
        <f>'[6]Table 4 Level 3'!C35+'[6]Table 4 Level 3'!W35+'[6]Table 4 Level 3'!AA35+'[6]Table 4 Level 3'!AE35</f>
        <v>727.17</v>
      </c>
      <c r="Q35" s="514">
        <f>ROUND(P35*'Table 3 Levels 1&amp;2'!C37,0)</f>
        <v>1774295</v>
      </c>
      <c r="R35" s="514">
        <f t="shared" si="8"/>
        <v>2107600</v>
      </c>
    </row>
    <row r="36" spans="1:18">
      <c r="A36" s="257">
        <v>31</v>
      </c>
      <c r="B36" s="258" t="s">
        <v>207</v>
      </c>
      <c r="C36" s="505">
        <v>0</v>
      </c>
      <c r="D36" s="505">
        <v>0</v>
      </c>
      <c r="E36" s="505">
        <f t="shared" si="5"/>
        <v>0</v>
      </c>
      <c r="F36" s="506">
        <f>'[5]Table 4 Level 3'!F36+'[5]Table 4 Level 3'!H36</f>
        <v>0</v>
      </c>
      <c r="G36" s="506">
        <f t="shared" si="1"/>
        <v>0</v>
      </c>
      <c r="H36" s="506">
        <f t="shared" si="6"/>
        <v>0</v>
      </c>
      <c r="I36" s="507">
        <f>IF(F36&lt;0,0,'Table 3 Levels 1&amp;2'!C38)</f>
        <v>6470</v>
      </c>
      <c r="J36" s="508">
        <f t="shared" si="2"/>
        <v>236805</v>
      </c>
      <c r="K36" s="509">
        <v>0</v>
      </c>
      <c r="L36" s="508">
        <f t="shared" si="3"/>
        <v>0</v>
      </c>
      <c r="M36" s="507">
        <f>'Table 3 Levels 1&amp;2'!C38</f>
        <v>6470</v>
      </c>
      <c r="N36" s="508">
        <f t="shared" si="4"/>
        <v>647000</v>
      </c>
      <c r="O36" s="508">
        <f t="shared" si="7"/>
        <v>883805</v>
      </c>
      <c r="P36" s="259">
        <f>'[6]Table 4 Level 3'!C36+'[6]Table 4 Level 3'!W36+'[6]Table 4 Level 3'!AA36+'[6]Table 4 Level 3'!AE36</f>
        <v>620.83000000000004</v>
      </c>
      <c r="Q36" s="508">
        <f>ROUND(P36*'Table 3 Levels 1&amp;2'!C38,0)</f>
        <v>4016770</v>
      </c>
      <c r="R36" s="508">
        <f t="shared" si="8"/>
        <v>4900575</v>
      </c>
    </row>
    <row r="37" spans="1:18">
      <c r="A37" s="257">
        <v>32</v>
      </c>
      <c r="B37" s="258" t="s">
        <v>208</v>
      </c>
      <c r="C37" s="505">
        <v>0</v>
      </c>
      <c r="D37" s="505">
        <v>0</v>
      </c>
      <c r="E37" s="505">
        <f t="shared" si="5"/>
        <v>0</v>
      </c>
      <c r="F37" s="506">
        <f>'[5]Table 4 Level 3'!F37+'[5]Table 4 Level 3'!H37</f>
        <v>0</v>
      </c>
      <c r="G37" s="506">
        <f t="shared" si="1"/>
        <v>0</v>
      </c>
      <c r="H37" s="506">
        <f t="shared" si="6"/>
        <v>0</v>
      </c>
      <c r="I37" s="507">
        <f>IF(F37&lt;0,0,'Table 3 Levels 1&amp;2'!C39)</f>
        <v>24050</v>
      </c>
      <c r="J37" s="508">
        <f t="shared" si="2"/>
        <v>880240</v>
      </c>
      <c r="K37" s="509">
        <v>0</v>
      </c>
      <c r="L37" s="508">
        <f t="shared" si="3"/>
        <v>0</v>
      </c>
      <c r="M37" s="507">
        <f>'Table 3 Levels 1&amp;2'!C39</f>
        <v>24050</v>
      </c>
      <c r="N37" s="508">
        <f t="shared" si="4"/>
        <v>2405000</v>
      </c>
      <c r="O37" s="508">
        <f t="shared" si="7"/>
        <v>3285240</v>
      </c>
      <c r="P37" s="259">
        <f>'[6]Table 4 Level 3'!C37+'[6]Table 4 Level 3'!W37+'[6]Table 4 Level 3'!AA37+'[6]Table 4 Level 3'!AE37</f>
        <v>559.77</v>
      </c>
      <c r="Q37" s="508">
        <f>ROUND(P37*'Table 3 Levels 1&amp;2'!C39,0)</f>
        <v>13462469</v>
      </c>
      <c r="R37" s="508">
        <f t="shared" si="8"/>
        <v>16747709</v>
      </c>
    </row>
    <row r="38" spans="1:18">
      <c r="A38" s="257">
        <v>33</v>
      </c>
      <c r="B38" s="258" t="s">
        <v>209</v>
      </c>
      <c r="C38" s="505">
        <v>0</v>
      </c>
      <c r="D38" s="505">
        <v>0</v>
      </c>
      <c r="E38" s="505">
        <f t="shared" si="5"/>
        <v>0</v>
      </c>
      <c r="F38" s="506">
        <f>'[5]Table 4 Level 3'!F38+'[5]Table 4 Level 3'!H38</f>
        <v>0</v>
      </c>
      <c r="G38" s="506">
        <f t="shared" si="1"/>
        <v>0</v>
      </c>
      <c r="H38" s="506">
        <f t="shared" si="6"/>
        <v>0</v>
      </c>
      <c r="I38" s="507">
        <f>IF(F38&lt;0,0,'Table 3 Levels 1&amp;2'!C40)</f>
        <v>1832</v>
      </c>
      <c r="J38" s="508">
        <f t="shared" si="2"/>
        <v>67052</v>
      </c>
      <c r="K38" s="509">
        <v>1</v>
      </c>
      <c r="L38" s="508">
        <f t="shared" si="3"/>
        <v>20000</v>
      </c>
      <c r="M38" s="507">
        <f>'Table 3 Levels 1&amp;2'!C40</f>
        <v>1832</v>
      </c>
      <c r="N38" s="508">
        <f t="shared" si="4"/>
        <v>183200</v>
      </c>
      <c r="O38" s="508">
        <f t="shared" si="7"/>
        <v>270252</v>
      </c>
      <c r="P38" s="259">
        <f>'[6]Table 4 Level 3'!C38+'[6]Table 4 Level 3'!W38+'[6]Table 4 Level 3'!AA38+'[6]Table 4 Level 3'!AE38</f>
        <v>655.31000000000006</v>
      </c>
      <c r="Q38" s="508">
        <f>ROUND(P38*'Table 3 Levels 1&amp;2'!C40,0)</f>
        <v>1200528</v>
      </c>
      <c r="R38" s="508">
        <f t="shared" si="8"/>
        <v>1470780</v>
      </c>
    </row>
    <row r="39" spans="1:18">
      <c r="A39" s="257">
        <v>34</v>
      </c>
      <c r="B39" s="258" t="s">
        <v>210</v>
      </c>
      <c r="C39" s="505">
        <v>0</v>
      </c>
      <c r="D39" s="505">
        <v>0</v>
      </c>
      <c r="E39" s="505">
        <f t="shared" si="5"/>
        <v>0</v>
      </c>
      <c r="F39" s="506">
        <f>'[5]Table 4 Level 3'!F39+'[5]Table 4 Level 3'!H39</f>
        <v>0</v>
      </c>
      <c r="G39" s="506">
        <f t="shared" si="1"/>
        <v>0</v>
      </c>
      <c r="H39" s="506">
        <f t="shared" si="6"/>
        <v>0</v>
      </c>
      <c r="I39" s="507">
        <f>IF(F39&lt;0,0,'Table 3 Levels 1&amp;2'!C41)</f>
        <v>4365</v>
      </c>
      <c r="J39" s="508">
        <f t="shared" si="2"/>
        <v>159761</v>
      </c>
      <c r="K39" s="509">
        <v>0</v>
      </c>
      <c r="L39" s="508">
        <f t="shared" si="3"/>
        <v>0</v>
      </c>
      <c r="M39" s="507">
        <f>'Table 3 Levels 1&amp;2'!C41</f>
        <v>4365</v>
      </c>
      <c r="N39" s="508">
        <f t="shared" si="4"/>
        <v>436500</v>
      </c>
      <c r="O39" s="508">
        <f t="shared" si="7"/>
        <v>596261</v>
      </c>
      <c r="P39" s="259">
        <f>'[6]Table 4 Level 3'!C39+'[6]Table 4 Level 3'!W39+'[6]Table 4 Level 3'!AA39+'[6]Table 4 Level 3'!AE39</f>
        <v>644.11000000000013</v>
      </c>
      <c r="Q39" s="508">
        <f>ROUND(P39*'Table 3 Levels 1&amp;2'!C41,0)</f>
        <v>2811540</v>
      </c>
      <c r="R39" s="508">
        <f t="shared" si="8"/>
        <v>3407801</v>
      </c>
    </row>
    <row r="40" spans="1:18">
      <c r="A40" s="266">
        <v>35</v>
      </c>
      <c r="B40" s="267" t="s">
        <v>211</v>
      </c>
      <c r="C40" s="511">
        <v>0</v>
      </c>
      <c r="D40" s="511">
        <v>0</v>
      </c>
      <c r="E40" s="511">
        <f t="shared" si="5"/>
        <v>0</v>
      </c>
      <c r="F40" s="512">
        <f>'[5]Table 4 Level 3'!F40+'[5]Table 4 Level 3'!H40</f>
        <v>0</v>
      </c>
      <c r="G40" s="512">
        <f t="shared" si="1"/>
        <v>0</v>
      </c>
      <c r="H40" s="512">
        <f t="shared" si="6"/>
        <v>0</v>
      </c>
      <c r="I40" s="513">
        <f>IF(F40&lt;0,0,'Table 3 Levels 1&amp;2'!C42)</f>
        <v>6438</v>
      </c>
      <c r="J40" s="514">
        <f t="shared" si="2"/>
        <v>235633</v>
      </c>
      <c r="K40" s="515">
        <v>0</v>
      </c>
      <c r="L40" s="514">
        <f t="shared" si="3"/>
        <v>0</v>
      </c>
      <c r="M40" s="513">
        <f>'Table 3 Levels 1&amp;2'!C42</f>
        <v>6438</v>
      </c>
      <c r="N40" s="514">
        <f t="shared" si="4"/>
        <v>643800</v>
      </c>
      <c r="O40" s="514">
        <f t="shared" si="7"/>
        <v>879433</v>
      </c>
      <c r="P40" s="268">
        <f>'[6]Table 4 Level 3'!C40+'[6]Table 4 Level 3'!W40+'[6]Table 4 Level 3'!AA40+'[6]Table 4 Level 3'!AE40</f>
        <v>537.96</v>
      </c>
      <c r="Q40" s="514">
        <f>ROUND(P40*'Table 3 Levels 1&amp;2'!C42,0)</f>
        <v>3463386</v>
      </c>
      <c r="R40" s="514">
        <f t="shared" si="8"/>
        <v>4342819</v>
      </c>
    </row>
    <row r="41" spans="1:18">
      <c r="A41" s="257">
        <v>36</v>
      </c>
      <c r="B41" s="258" t="s">
        <v>74</v>
      </c>
      <c r="C41" s="505">
        <v>0</v>
      </c>
      <c r="D41" s="505">
        <v>0</v>
      </c>
      <c r="E41" s="505">
        <f t="shared" si="5"/>
        <v>0</v>
      </c>
      <c r="F41" s="506">
        <f>'[5]Table 4 Level 3'!F41+'[5]Table 4 Level 3'!H41</f>
        <v>0</v>
      </c>
      <c r="G41" s="506">
        <f t="shared" si="1"/>
        <v>0</v>
      </c>
      <c r="H41" s="518">
        <f t="shared" si="6"/>
        <v>0</v>
      </c>
      <c r="I41" s="519">
        <f>IF(F41&lt;0,0,'Table 3 Levels 1&amp;2'!C43)</f>
        <v>37409</v>
      </c>
      <c r="J41" s="508">
        <f t="shared" si="2"/>
        <v>1369184</v>
      </c>
      <c r="K41" s="509">
        <v>24</v>
      </c>
      <c r="L41" s="508">
        <f t="shared" si="3"/>
        <v>480000</v>
      </c>
      <c r="M41" s="507">
        <f>'Table 3 Levels 1&amp;2'!C43</f>
        <v>37409</v>
      </c>
      <c r="N41" s="508">
        <f t="shared" si="4"/>
        <v>3740900</v>
      </c>
      <c r="O41" s="508">
        <f t="shared" si="7"/>
        <v>5590084</v>
      </c>
      <c r="P41" s="259" t="s">
        <v>401</v>
      </c>
      <c r="Q41" s="516">
        <f>'Table 5B1_RSD_Orleans'!G65+'Table 5C1 - Type 2s'!F41</f>
        <v>27587519.020294182</v>
      </c>
      <c r="R41" s="508">
        <f>O41+Q41</f>
        <v>33177603.020294182</v>
      </c>
    </row>
    <row r="42" spans="1:18">
      <c r="A42" s="257">
        <v>37</v>
      </c>
      <c r="B42" s="258" t="s">
        <v>213</v>
      </c>
      <c r="C42" s="505">
        <v>0</v>
      </c>
      <c r="D42" s="505">
        <v>0</v>
      </c>
      <c r="E42" s="505">
        <f t="shared" si="5"/>
        <v>0</v>
      </c>
      <c r="F42" s="506">
        <f>'[5]Table 4 Level 3'!F42+'[5]Table 4 Level 3'!H42</f>
        <v>0</v>
      </c>
      <c r="G42" s="506">
        <f t="shared" si="1"/>
        <v>0</v>
      </c>
      <c r="H42" s="506">
        <f t="shared" si="6"/>
        <v>0</v>
      </c>
      <c r="I42" s="507">
        <f>IF(F42&lt;0,0,'Table 3 Levels 1&amp;2'!C44)</f>
        <v>19053</v>
      </c>
      <c r="J42" s="508">
        <f t="shared" si="2"/>
        <v>697347</v>
      </c>
      <c r="K42" s="509">
        <v>1</v>
      </c>
      <c r="L42" s="508">
        <f t="shared" si="3"/>
        <v>20000</v>
      </c>
      <c r="M42" s="507">
        <f>'Table 3 Levels 1&amp;2'!C44</f>
        <v>19053</v>
      </c>
      <c r="N42" s="508">
        <f t="shared" si="4"/>
        <v>1905300</v>
      </c>
      <c r="O42" s="508">
        <f t="shared" si="7"/>
        <v>2622647</v>
      </c>
      <c r="P42" s="259">
        <f>'[6]Table 4 Level 3'!C42+'[6]Table 4 Level 3'!W42+'[6]Table 4 Level 3'!AA42+'[6]Table 4 Level 3'!AE42</f>
        <v>653.61</v>
      </c>
      <c r="Q42" s="508">
        <f>ROUND(P42*'Table 3 Levels 1&amp;2'!C44,0)</f>
        <v>12453231</v>
      </c>
      <c r="R42" s="508">
        <f t="shared" si="8"/>
        <v>15075878</v>
      </c>
    </row>
    <row r="43" spans="1:18">
      <c r="A43" s="257">
        <v>38</v>
      </c>
      <c r="B43" s="258" t="s">
        <v>214</v>
      </c>
      <c r="C43" s="505">
        <v>5387703</v>
      </c>
      <c r="D43" s="505">
        <v>1258024</v>
      </c>
      <c r="E43" s="505">
        <f t="shared" si="5"/>
        <v>4129679</v>
      </c>
      <c r="F43" s="506">
        <f>'[5]Table 4 Level 3'!F43+'[5]Table 4 Level 3'!H43</f>
        <v>-1651872</v>
      </c>
      <c r="G43" s="520">
        <f t="shared" si="1"/>
        <v>2477807</v>
      </c>
      <c r="H43" s="506">
        <f t="shared" si="6"/>
        <v>-412968</v>
      </c>
      <c r="I43" s="507">
        <f>IF(F43&lt;0,0,'Table 3 Levels 1&amp;2'!C45)</f>
        <v>0</v>
      </c>
      <c r="J43" s="508">
        <f t="shared" si="2"/>
        <v>0</v>
      </c>
      <c r="K43" s="509">
        <v>1</v>
      </c>
      <c r="L43" s="508">
        <f t="shared" si="3"/>
        <v>20000</v>
      </c>
      <c r="M43" s="507">
        <f>'Table 3 Levels 1&amp;2'!C45</f>
        <v>3728</v>
      </c>
      <c r="N43" s="508">
        <f t="shared" si="4"/>
        <v>372800</v>
      </c>
      <c r="O43" s="508">
        <f t="shared" si="7"/>
        <v>3715663</v>
      </c>
      <c r="P43" s="259">
        <f>'[6]Table 4 Level 3'!C43+'[6]Table 4 Level 3'!W43+'[6]Table 4 Level 3'!AA43+'[6]Table 4 Level 3'!AE43</f>
        <v>829.92000000000007</v>
      </c>
      <c r="Q43" s="508">
        <f>ROUND(P43*'Table 3 Levels 1&amp;2'!C45,0)</f>
        <v>3093942</v>
      </c>
      <c r="R43" s="508">
        <f t="shared" si="8"/>
        <v>6809605</v>
      </c>
    </row>
    <row r="44" spans="1:18">
      <c r="A44" s="257">
        <v>39</v>
      </c>
      <c r="B44" s="258" t="s">
        <v>76</v>
      </c>
      <c r="C44" s="505">
        <v>324688</v>
      </c>
      <c r="D44" s="505">
        <v>324688</v>
      </c>
      <c r="E44" s="505">
        <f t="shared" si="5"/>
        <v>0</v>
      </c>
      <c r="F44" s="506">
        <f>'[5]Table 4 Level 3'!F44+'[5]Table 4 Level 3'!H44</f>
        <v>0</v>
      </c>
      <c r="G44" s="506">
        <f t="shared" si="1"/>
        <v>0</v>
      </c>
      <c r="H44" s="506">
        <f t="shared" si="6"/>
        <v>0</v>
      </c>
      <c r="I44" s="507">
        <f>IF(F44&lt;0,0,'Table 3 Levels 1&amp;2'!C46)</f>
        <v>2817</v>
      </c>
      <c r="J44" s="508">
        <f t="shared" si="2"/>
        <v>103103</v>
      </c>
      <c r="K44" s="509">
        <v>0</v>
      </c>
      <c r="L44" s="508">
        <f t="shared" si="3"/>
        <v>0</v>
      </c>
      <c r="M44" s="507">
        <f>'Table 3 Levels 1&amp;2'!C46</f>
        <v>2817</v>
      </c>
      <c r="N44" s="508">
        <f t="shared" si="4"/>
        <v>281700</v>
      </c>
      <c r="O44" s="508">
        <f t="shared" si="7"/>
        <v>709491</v>
      </c>
      <c r="P44" s="259" t="s">
        <v>402</v>
      </c>
      <c r="Q44" s="516">
        <f>'Table 5B2_RSD_LA'!G24</f>
        <v>2178231.2827924602</v>
      </c>
      <c r="R44" s="508">
        <f t="shared" si="8"/>
        <v>2887722.2827924602</v>
      </c>
    </row>
    <row r="45" spans="1:18">
      <c r="A45" s="266">
        <v>40</v>
      </c>
      <c r="B45" s="267" t="s">
        <v>215</v>
      </c>
      <c r="C45" s="511">
        <v>0</v>
      </c>
      <c r="D45" s="511">
        <v>0</v>
      </c>
      <c r="E45" s="511">
        <f t="shared" si="5"/>
        <v>0</v>
      </c>
      <c r="F45" s="512">
        <f>'[5]Table 4 Level 3'!F45+'[5]Table 4 Level 3'!H45</f>
        <v>0</v>
      </c>
      <c r="G45" s="512">
        <f t="shared" si="1"/>
        <v>0</v>
      </c>
      <c r="H45" s="512">
        <f t="shared" si="6"/>
        <v>0</v>
      </c>
      <c r="I45" s="513">
        <f>IF(F45&lt;0,0,'Table 3 Levels 1&amp;2'!C47)</f>
        <v>22762</v>
      </c>
      <c r="J45" s="514">
        <f t="shared" si="2"/>
        <v>833098</v>
      </c>
      <c r="K45" s="515">
        <v>0</v>
      </c>
      <c r="L45" s="514">
        <f t="shared" si="3"/>
        <v>0</v>
      </c>
      <c r="M45" s="513">
        <f>'Table 3 Levels 1&amp;2'!C47</f>
        <v>22762</v>
      </c>
      <c r="N45" s="514">
        <f t="shared" si="4"/>
        <v>2276200</v>
      </c>
      <c r="O45" s="514">
        <f t="shared" si="7"/>
        <v>3109298</v>
      </c>
      <c r="P45" s="268">
        <f>'[6]Table 4 Level 3'!C45+'[6]Table 4 Level 3'!W45+'[6]Table 4 Level 3'!AA45+'[6]Table 4 Level 3'!AE45</f>
        <v>700.2700000000001</v>
      </c>
      <c r="Q45" s="514">
        <f>ROUND(P45*'Table 3 Levels 1&amp;2'!C47,0)</f>
        <v>15939546</v>
      </c>
      <c r="R45" s="514">
        <f t="shared" si="8"/>
        <v>19048844</v>
      </c>
    </row>
    <row r="46" spans="1:18">
      <c r="A46" s="257">
        <v>41</v>
      </c>
      <c r="B46" s="258" t="s">
        <v>216</v>
      </c>
      <c r="C46" s="505">
        <v>0</v>
      </c>
      <c r="D46" s="505">
        <v>0</v>
      </c>
      <c r="E46" s="505">
        <f t="shared" si="5"/>
        <v>0</v>
      </c>
      <c r="F46" s="506">
        <f>'[5]Table 4 Level 3'!F46+'[5]Table 4 Level 3'!H46</f>
        <v>0</v>
      </c>
      <c r="G46" s="506">
        <f t="shared" si="1"/>
        <v>0</v>
      </c>
      <c r="H46" s="506">
        <f t="shared" si="6"/>
        <v>0</v>
      </c>
      <c r="I46" s="507">
        <f>IF(F46&lt;0,0,'Table 3 Levels 1&amp;2'!C48)</f>
        <v>1434</v>
      </c>
      <c r="J46" s="508">
        <f t="shared" si="2"/>
        <v>52485</v>
      </c>
      <c r="K46" s="509">
        <v>0</v>
      </c>
      <c r="L46" s="508">
        <f t="shared" si="3"/>
        <v>0</v>
      </c>
      <c r="M46" s="507">
        <f>'Table 3 Levels 1&amp;2'!C48</f>
        <v>1434</v>
      </c>
      <c r="N46" s="508">
        <f t="shared" si="4"/>
        <v>143400</v>
      </c>
      <c r="O46" s="508">
        <f t="shared" si="7"/>
        <v>195885</v>
      </c>
      <c r="P46" s="259">
        <f>'[6]Table 4 Level 3'!C46+'[6]Table 4 Level 3'!W46+'[6]Table 4 Level 3'!AA46+'[6]Table 4 Level 3'!AE46</f>
        <v>886.22</v>
      </c>
      <c r="Q46" s="508">
        <f>ROUND(P46*'Table 3 Levels 1&amp;2'!C48,0)</f>
        <v>1270839</v>
      </c>
      <c r="R46" s="508">
        <f t="shared" si="8"/>
        <v>1466724</v>
      </c>
    </row>
    <row r="47" spans="1:18">
      <c r="A47" s="257">
        <v>42</v>
      </c>
      <c r="B47" s="258" t="s">
        <v>217</v>
      </c>
      <c r="C47" s="505">
        <v>0</v>
      </c>
      <c r="D47" s="505">
        <v>0</v>
      </c>
      <c r="E47" s="505">
        <f t="shared" si="5"/>
        <v>0</v>
      </c>
      <c r="F47" s="506">
        <f>'[5]Table 4 Level 3'!F47+'[5]Table 4 Level 3'!H47</f>
        <v>0</v>
      </c>
      <c r="G47" s="506">
        <f t="shared" si="1"/>
        <v>0</v>
      </c>
      <c r="H47" s="506">
        <f t="shared" si="6"/>
        <v>0</v>
      </c>
      <c r="I47" s="507">
        <f>IF(F47&lt;0,0,'Table 3 Levels 1&amp;2'!C49)</f>
        <v>3298</v>
      </c>
      <c r="J47" s="508">
        <f t="shared" si="2"/>
        <v>120708</v>
      </c>
      <c r="K47" s="509">
        <v>0</v>
      </c>
      <c r="L47" s="508">
        <f t="shared" si="3"/>
        <v>0</v>
      </c>
      <c r="M47" s="507">
        <f>'Table 3 Levels 1&amp;2'!C49</f>
        <v>3298</v>
      </c>
      <c r="N47" s="508">
        <f t="shared" si="4"/>
        <v>329800</v>
      </c>
      <c r="O47" s="508">
        <f t="shared" si="7"/>
        <v>450508</v>
      </c>
      <c r="P47" s="259">
        <f>'[6]Table 4 Level 3'!C47+'[6]Table 4 Level 3'!W47+'[6]Table 4 Level 3'!AA47+'[6]Table 4 Level 3'!AE47</f>
        <v>534.28</v>
      </c>
      <c r="Q47" s="508">
        <f>ROUND(P47*'Table 3 Levels 1&amp;2'!C49,0)</f>
        <v>1762055</v>
      </c>
      <c r="R47" s="508">
        <f t="shared" si="8"/>
        <v>2212563</v>
      </c>
    </row>
    <row r="48" spans="1:18">
      <c r="A48" s="257">
        <v>43</v>
      </c>
      <c r="B48" s="258" t="s">
        <v>218</v>
      </c>
      <c r="C48" s="505">
        <v>0</v>
      </c>
      <c r="D48" s="505">
        <v>0</v>
      </c>
      <c r="E48" s="505">
        <f t="shared" si="5"/>
        <v>0</v>
      </c>
      <c r="F48" s="506">
        <f>'[5]Table 4 Level 3'!F48+'[5]Table 4 Level 3'!H48</f>
        <v>0</v>
      </c>
      <c r="G48" s="506">
        <f t="shared" si="1"/>
        <v>0</v>
      </c>
      <c r="H48" s="506">
        <f t="shared" si="6"/>
        <v>0</v>
      </c>
      <c r="I48" s="507">
        <f>IF(F48&lt;0,0,'Table 3 Levels 1&amp;2'!C50)</f>
        <v>3981</v>
      </c>
      <c r="J48" s="508">
        <f t="shared" si="2"/>
        <v>145706</v>
      </c>
      <c r="K48" s="509">
        <v>0</v>
      </c>
      <c r="L48" s="508">
        <f t="shared" si="3"/>
        <v>0</v>
      </c>
      <c r="M48" s="507">
        <f>'Table 3 Levels 1&amp;2'!C50</f>
        <v>3981</v>
      </c>
      <c r="N48" s="508">
        <f t="shared" si="4"/>
        <v>398100</v>
      </c>
      <c r="O48" s="508">
        <f t="shared" si="7"/>
        <v>543806</v>
      </c>
      <c r="P48" s="259">
        <f>'[6]Table 4 Level 3'!C48+'[6]Table 4 Level 3'!W48+'[6]Table 4 Level 3'!AA48+'[6]Table 4 Level 3'!AE48</f>
        <v>574.6099999999999</v>
      </c>
      <c r="Q48" s="508">
        <f>ROUND(P48*'Table 3 Levels 1&amp;2'!C50,0)</f>
        <v>2287522</v>
      </c>
      <c r="R48" s="508">
        <f t="shared" si="8"/>
        <v>2831328</v>
      </c>
    </row>
    <row r="49" spans="1:18">
      <c r="A49" s="257">
        <v>44</v>
      </c>
      <c r="B49" s="258" t="s">
        <v>219</v>
      </c>
      <c r="C49" s="505">
        <v>0</v>
      </c>
      <c r="D49" s="505">
        <v>0</v>
      </c>
      <c r="E49" s="505">
        <f t="shared" si="5"/>
        <v>0</v>
      </c>
      <c r="F49" s="506">
        <f>'[5]Table 4 Level 3'!F49+'[5]Table 4 Level 3'!H49</f>
        <v>0</v>
      </c>
      <c r="G49" s="506">
        <f t="shared" si="1"/>
        <v>0</v>
      </c>
      <c r="H49" s="506">
        <f t="shared" si="6"/>
        <v>0</v>
      </c>
      <c r="I49" s="507">
        <f>IF(F49&lt;0,0,'Table 3 Levels 1&amp;2'!C51)</f>
        <v>5439</v>
      </c>
      <c r="J49" s="508">
        <f t="shared" si="2"/>
        <v>199070</v>
      </c>
      <c r="K49" s="509">
        <v>0</v>
      </c>
      <c r="L49" s="508">
        <f t="shared" si="3"/>
        <v>0</v>
      </c>
      <c r="M49" s="507">
        <f>'Table 3 Levels 1&amp;2'!C51</f>
        <v>5439</v>
      </c>
      <c r="N49" s="508">
        <f t="shared" si="4"/>
        <v>543900</v>
      </c>
      <c r="O49" s="508">
        <f t="shared" si="7"/>
        <v>742970</v>
      </c>
      <c r="P49" s="259">
        <f>'[6]Table 4 Level 3'!C49+'[6]Table 4 Level 3'!W49+'[6]Table 4 Level 3'!AA49+'[6]Table 4 Level 3'!AE49</f>
        <v>663.16000000000008</v>
      </c>
      <c r="Q49" s="508">
        <f>ROUND(P49*'Table 3 Levels 1&amp;2'!C51,0)</f>
        <v>3606927</v>
      </c>
      <c r="R49" s="508">
        <f t="shared" si="8"/>
        <v>4349897</v>
      </c>
    </row>
    <row r="50" spans="1:18">
      <c r="A50" s="266">
        <v>45</v>
      </c>
      <c r="B50" s="267" t="s">
        <v>220</v>
      </c>
      <c r="C50" s="511">
        <v>9520260</v>
      </c>
      <c r="D50" s="511">
        <v>2883682</v>
      </c>
      <c r="E50" s="511">
        <f t="shared" si="5"/>
        <v>6636578</v>
      </c>
      <c r="F50" s="512">
        <f>'[5]Table 4 Level 3'!F50+'[5]Table 4 Level 3'!H50</f>
        <v>-3410177</v>
      </c>
      <c r="G50" s="512">
        <f t="shared" si="1"/>
        <v>3226401</v>
      </c>
      <c r="H50" s="521">
        <f t="shared" si="6"/>
        <v>-537734</v>
      </c>
      <c r="I50" s="513">
        <f>IF(F50&lt;0,0,'Table 3 Levels 1&amp;2'!C52)</f>
        <v>0</v>
      </c>
      <c r="J50" s="514">
        <f t="shared" si="2"/>
        <v>0</v>
      </c>
      <c r="K50" s="515">
        <v>0</v>
      </c>
      <c r="L50" s="514">
        <f t="shared" si="3"/>
        <v>0</v>
      </c>
      <c r="M50" s="513">
        <f>'Table 3 Levels 1&amp;2'!C52</f>
        <v>9430</v>
      </c>
      <c r="N50" s="514">
        <f t="shared" si="4"/>
        <v>943000</v>
      </c>
      <c r="O50" s="514">
        <f t="shared" si="7"/>
        <v>6515349</v>
      </c>
      <c r="P50" s="268">
        <f>'[6]Table 4 Level 3'!C50+'[6]Table 4 Level 3'!W50+'[6]Table 4 Level 3'!AA50+'[6]Table 4 Level 3'!AE50</f>
        <v>753.96000000000015</v>
      </c>
      <c r="Q50" s="514">
        <f>ROUND(P50*'Table 3 Levels 1&amp;2'!C52,0)</f>
        <v>7109843</v>
      </c>
      <c r="R50" s="514">
        <f t="shared" si="8"/>
        <v>13625192</v>
      </c>
    </row>
    <row r="51" spans="1:18">
      <c r="A51" s="257">
        <v>46</v>
      </c>
      <c r="B51" s="258" t="s">
        <v>78</v>
      </c>
      <c r="C51" s="505">
        <v>0</v>
      </c>
      <c r="D51" s="505">
        <v>0</v>
      </c>
      <c r="E51" s="505">
        <f t="shared" si="5"/>
        <v>0</v>
      </c>
      <c r="F51" s="506">
        <f>'[5]Table 4 Level 3'!F51+'[5]Table 4 Level 3'!H51</f>
        <v>0</v>
      </c>
      <c r="G51" s="506">
        <f t="shared" si="1"/>
        <v>0</v>
      </c>
      <c r="H51" s="506">
        <f t="shared" si="6"/>
        <v>0</v>
      </c>
      <c r="I51" s="507">
        <f>IF(F51&lt;0,0,'Table 3 Levels 1&amp;2'!C53)</f>
        <v>1103</v>
      </c>
      <c r="J51" s="508">
        <f t="shared" si="2"/>
        <v>40370</v>
      </c>
      <c r="K51" s="509">
        <v>0</v>
      </c>
      <c r="L51" s="508">
        <f t="shared" si="3"/>
        <v>0</v>
      </c>
      <c r="M51" s="507">
        <f>'Table 3 Levels 1&amp;2'!C53</f>
        <v>1103</v>
      </c>
      <c r="N51" s="508">
        <f t="shared" si="4"/>
        <v>110300</v>
      </c>
      <c r="O51" s="508">
        <f t="shared" si="7"/>
        <v>150670</v>
      </c>
      <c r="P51" s="259">
        <f>'[6]Table 4 Level 3'!C51+'[6]Table 4 Level 3'!W51+'[6]Table 4 Level 3'!AA51+'[6]Table 4 Level 3'!AE51</f>
        <v>728.06</v>
      </c>
      <c r="Q51" s="516">
        <f>'Table 5B2_RSD_LA'!G36</f>
        <v>803050.17999999993</v>
      </c>
      <c r="R51" s="508">
        <f t="shared" si="8"/>
        <v>953720.17999999993</v>
      </c>
    </row>
    <row r="52" spans="1:18">
      <c r="A52" s="257">
        <v>47</v>
      </c>
      <c r="B52" s="258" t="s">
        <v>221</v>
      </c>
      <c r="C52" s="505">
        <v>1851066</v>
      </c>
      <c r="D52" s="505">
        <v>1060614</v>
      </c>
      <c r="E52" s="505">
        <f t="shared" si="5"/>
        <v>790452</v>
      </c>
      <c r="F52" s="506">
        <f>'[5]Table 4 Level 3'!F52+'[5]Table 4 Level 3'!H52</f>
        <v>-316180</v>
      </c>
      <c r="G52" s="506">
        <f t="shared" si="1"/>
        <v>474272</v>
      </c>
      <c r="H52" s="506">
        <f t="shared" si="6"/>
        <v>-79045</v>
      </c>
      <c r="I52" s="507">
        <f>IF(F52&lt;0,0,'Table 3 Levels 1&amp;2'!C54)</f>
        <v>0</v>
      </c>
      <c r="J52" s="508">
        <f t="shared" si="2"/>
        <v>0</v>
      </c>
      <c r="K52" s="509">
        <v>0</v>
      </c>
      <c r="L52" s="508">
        <f t="shared" si="3"/>
        <v>0</v>
      </c>
      <c r="M52" s="507">
        <f>'Table 3 Levels 1&amp;2'!C54</f>
        <v>3716</v>
      </c>
      <c r="N52" s="508">
        <f t="shared" si="4"/>
        <v>371600</v>
      </c>
      <c r="O52" s="508">
        <f t="shared" si="7"/>
        <v>1827441</v>
      </c>
      <c r="P52" s="259">
        <f>'[6]Table 4 Level 3'!C52+'[6]Table 4 Level 3'!W52+'[6]Table 4 Level 3'!AA52+'[6]Table 4 Level 3'!AE52</f>
        <v>910.76</v>
      </c>
      <c r="Q52" s="508">
        <f>ROUND(P52*'Table 3 Levels 1&amp;2'!C54,0)</f>
        <v>3384384</v>
      </c>
      <c r="R52" s="508">
        <f t="shared" si="8"/>
        <v>5211825</v>
      </c>
    </row>
    <row r="53" spans="1:18">
      <c r="A53" s="257">
        <v>48</v>
      </c>
      <c r="B53" s="258" t="s">
        <v>222</v>
      </c>
      <c r="C53" s="505">
        <v>0</v>
      </c>
      <c r="D53" s="505">
        <v>0</v>
      </c>
      <c r="E53" s="505">
        <f t="shared" si="5"/>
        <v>0</v>
      </c>
      <c r="F53" s="506">
        <f>'[5]Table 4 Level 3'!F53+'[5]Table 4 Level 3'!H53</f>
        <v>0</v>
      </c>
      <c r="G53" s="506">
        <f t="shared" si="1"/>
        <v>0</v>
      </c>
      <c r="H53" s="506">
        <f t="shared" si="6"/>
        <v>0</v>
      </c>
      <c r="I53" s="507">
        <f>IF(F53&lt;0,0,'Table 3 Levels 1&amp;2'!C55)</f>
        <v>6033</v>
      </c>
      <c r="J53" s="508">
        <f t="shared" si="2"/>
        <v>220810</v>
      </c>
      <c r="K53" s="509">
        <v>0</v>
      </c>
      <c r="L53" s="508">
        <f t="shared" si="3"/>
        <v>0</v>
      </c>
      <c r="M53" s="507">
        <f>'Table 3 Levels 1&amp;2'!C55</f>
        <v>6033</v>
      </c>
      <c r="N53" s="508">
        <f t="shared" si="4"/>
        <v>603300</v>
      </c>
      <c r="O53" s="508">
        <f t="shared" si="7"/>
        <v>824110</v>
      </c>
      <c r="P53" s="259">
        <f>'[6]Table 4 Level 3'!C53+'[6]Table 4 Level 3'!W53+'[6]Table 4 Level 3'!AA53+'[6]Table 4 Level 3'!AE53</f>
        <v>871.07</v>
      </c>
      <c r="Q53" s="508">
        <f>ROUND(P53*'Table 3 Levels 1&amp;2'!C55,0)</f>
        <v>5255165</v>
      </c>
      <c r="R53" s="508">
        <f t="shared" si="8"/>
        <v>6079275</v>
      </c>
    </row>
    <row r="54" spans="1:18">
      <c r="A54" s="257">
        <v>49</v>
      </c>
      <c r="B54" s="258" t="s">
        <v>223</v>
      </c>
      <c r="C54" s="505">
        <v>0</v>
      </c>
      <c r="D54" s="505">
        <v>0</v>
      </c>
      <c r="E54" s="505">
        <f t="shared" si="5"/>
        <v>0</v>
      </c>
      <c r="F54" s="506">
        <f>'[5]Table 4 Level 3'!F54+'[5]Table 4 Level 3'!H54</f>
        <v>0</v>
      </c>
      <c r="G54" s="506">
        <f t="shared" si="1"/>
        <v>0</v>
      </c>
      <c r="H54" s="506">
        <f t="shared" si="6"/>
        <v>0</v>
      </c>
      <c r="I54" s="507">
        <f>IF(F54&lt;0,0,'Table 3 Levels 1&amp;2'!C56)</f>
        <v>13951</v>
      </c>
      <c r="J54" s="508">
        <f t="shared" si="2"/>
        <v>510612</v>
      </c>
      <c r="K54" s="509">
        <v>10</v>
      </c>
      <c r="L54" s="508">
        <f t="shared" si="3"/>
        <v>200000</v>
      </c>
      <c r="M54" s="507">
        <f>'Table 3 Levels 1&amp;2'!C56</f>
        <v>13951</v>
      </c>
      <c r="N54" s="508">
        <f t="shared" si="4"/>
        <v>1395100</v>
      </c>
      <c r="O54" s="508">
        <f t="shared" si="7"/>
        <v>2105712</v>
      </c>
      <c r="P54" s="259">
        <f>'[6]Table 4 Level 3'!C54+'[6]Table 4 Level 3'!W54+'[6]Table 4 Level 3'!AA54+'[6]Table 4 Level 3'!AE54</f>
        <v>574.43999999999994</v>
      </c>
      <c r="Q54" s="508">
        <f>ROUND(P54*'Table 3 Levels 1&amp;2'!C56,0)</f>
        <v>8014012</v>
      </c>
      <c r="R54" s="508">
        <f t="shared" si="8"/>
        <v>10119724</v>
      </c>
    </row>
    <row r="55" spans="1:18">
      <c r="A55" s="266">
        <v>50</v>
      </c>
      <c r="B55" s="267" t="s">
        <v>224</v>
      </c>
      <c r="C55" s="511">
        <v>0</v>
      </c>
      <c r="D55" s="511">
        <v>0</v>
      </c>
      <c r="E55" s="511">
        <f t="shared" si="5"/>
        <v>0</v>
      </c>
      <c r="F55" s="512">
        <f>'[5]Table 4 Level 3'!F55+'[5]Table 4 Level 3'!H55</f>
        <v>0</v>
      </c>
      <c r="G55" s="512">
        <f t="shared" si="1"/>
        <v>0</v>
      </c>
      <c r="H55" s="512">
        <f t="shared" si="6"/>
        <v>0</v>
      </c>
      <c r="I55" s="513">
        <f>IF(F55&lt;0,0,'Table 3 Levels 1&amp;2'!C57)</f>
        <v>8111</v>
      </c>
      <c r="J55" s="514">
        <f t="shared" si="2"/>
        <v>296866</v>
      </c>
      <c r="K55" s="515">
        <v>14</v>
      </c>
      <c r="L55" s="514">
        <f t="shared" si="3"/>
        <v>280000</v>
      </c>
      <c r="M55" s="513">
        <f>'Table 3 Levels 1&amp;2'!C57</f>
        <v>8111</v>
      </c>
      <c r="N55" s="514">
        <f t="shared" si="4"/>
        <v>811100</v>
      </c>
      <c r="O55" s="514">
        <f t="shared" si="7"/>
        <v>1387966</v>
      </c>
      <c r="P55" s="268">
        <f>'[6]Table 4 Level 3'!C55+'[6]Table 4 Level 3'!W55+'[6]Table 4 Level 3'!AA55+'[6]Table 4 Level 3'!AE55</f>
        <v>634.46</v>
      </c>
      <c r="Q55" s="514">
        <f>ROUND(P55*'Table 3 Levels 1&amp;2'!C57,0)</f>
        <v>5146105</v>
      </c>
      <c r="R55" s="514">
        <f t="shared" si="8"/>
        <v>6534071</v>
      </c>
    </row>
    <row r="56" spans="1:18">
      <c r="A56" s="257">
        <v>51</v>
      </c>
      <c r="B56" s="258" t="s">
        <v>225</v>
      </c>
      <c r="C56" s="505">
        <v>0</v>
      </c>
      <c r="D56" s="505">
        <v>0</v>
      </c>
      <c r="E56" s="505">
        <f t="shared" si="5"/>
        <v>0</v>
      </c>
      <c r="F56" s="506">
        <f>'[5]Table 4 Level 3'!F56+'[5]Table 4 Level 3'!H56</f>
        <v>0</v>
      </c>
      <c r="G56" s="506">
        <f t="shared" si="1"/>
        <v>0</v>
      </c>
      <c r="H56" s="506">
        <f t="shared" si="6"/>
        <v>0</v>
      </c>
      <c r="I56" s="507">
        <f>IF(F56&lt;0,0,'Table 3 Levels 1&amp;2'!C58)</f>
        <v>8991</v>
      </c>
      <c r="J56" s="508">
        <f t="shared" si="2"/>
        <v>329074</v>
      </c>
      <c r="K56" s="509">
        <v>0</v>
      </c>
      <c r="L56" s="508">
        <f t="shared" si="3"/>
        <v>0</v>
      </c>
      <c r="M56" s="507">
        <f>'Table 3 Levels 1&amp;2'!C58</f>
        <v>8991</v>
      </c>
      <c r="N56" s="508">
        <f t="shared" si="4"/>
        <v>899100</v>
      </c>
      <c r="O56" s="508">
        <f t="shared" si="7"/>
        <v>1228174</v>
      </c>
      <c r="P56" s="259">
        <f>'[6]Table 4 Level 3'!C56+'[6]Table 4 Level 3'!W56+'[6]Table 4 Level 3'!AA56+'[6]Table 4 Level 3'!AE56</f>
        <v>706.66</v>
      </c>
      <c r="Q56" s="508">
        <f>ROUND(P56*'Table 3 Levels 1&amp;2'!C58,0)</f>
        <v>6353580</v>
      </c>
      <c r="R56" s="508">
        <f t="shared" si="8"/>
        <v>7581754</v>
      </c>
    </row>
    <row r="57" spans="1:18">
      <c r="A57" s="257">
        <v>52</v>
      </c>
      <c r="B57" s="258" t="s">
        <v>226</v>
      </c>
      <c r="C57" s="505">
        <v>0</v>
      </c>
      <c r="D57" s="505">
        <v>0</v>
      </c>
      <c r="E57" s="505">
        <f t="shared" si="5"/>
        <v>0</v>
      </c>
      <c r="F57" s="506">
        <f>'[5]Table 4 Level 3'!F57+'[5]Table 4 Level 3'!H57</f>
        <v>0</v>
      </c>
      <c r="G57" s="506">
        <f t="shared" si="1"/>
        <v>0</v>
      </c>
      <c r="H57" s="506">
        <f t="shared" si="6"/>
        <v>0</v>
      </c>
      <c r="I57" s="507">
        <f>IF(F57&lt;0,0,'Table 3 Levels 1&amp;2'!C59)</f>
        <v>36178</v>
      </c>
      <c r="J57" s="508">
        <f t="shared" si="2"/>
        <v>1324129</v>
      </c>
      <c r="K57" s="509">
        <v>0</v>
      </c>
      <c r="L57" s="508">
        <f t="shared" si="3"/>
        <v>0</v>
      </c>
      <c r="M57" s="507">
        <f>'Table 3 Levels 1&amp;2'!C59</f>
        <v>36178</v>
      </c>
      <c r="N57" s="508">
        <f t="shared" si="4"/>
        <v>3617800</v>
      </c>
      <c r="O57" s="508">
        <f t="shared" si="7"/>
        <v>4941929</v>
      </c>
      <c r="P57" s="259">
        <f>'[6]Table 4 Level 3'!C57+'[6]Table 4 Level 3'!W57+'[6]Table 4 Level 3'!AA57+'[6]Table 4 Level 3'!AE57</f>
        <v>658.37</v>
      </c>
      <c r="Q57" s="508">
        <f>ROUND(P57*'Table 3 Levels 1&amp;2'!C59,0)</f>
        <v>23818510</v>
      </c>
      <c r="R57" s="508">
        <f t="shared" si="8"/>
        <v>28760439</v>
      </c>
    </row>
    <row r="58" spans="1:18">
      <c r="A58" s="257">
        <v>53</v>
      </c>
      <c r="B58" s="258" t="s">
        <v>227</v>
      </c>
      <c r="C58" s="505">
        <v>0</v>
      </c>
      <c r="D58" s="505">
        <v>0</v>
      </c>
      <c r="E58" s="505">
        <f t="shared" si="5"/>
        <v>0</v>
      </c>
      <c r="F58" s="506">
        <f>'[5]Table 4 Level 3'!F58+'[5]Table 4 Level 3'!H58</f>
        <v>0</v>
      </c>
      <c r="G58" s="506">
        <f t="shared" si="1"/>
        <v>0</v>
      </c>
      <c r="H58" s="506">
        <f t="shared" si="6"/>
        <v>0</v>
      </c>
      <c r="I58" s="507">
        <f>IF(F58&lt;0,0,'Table 3 Levels 1&amp;2'!C60)</f>
        <v>18645</v>
      </c>
      <c r="J58" s="508">
        <f t="shared" si="2"/>
        <v>682414</v>
      </c>
      <c r="K58" s="509">
        <v>3</v>
      </c>
      <c r="L58" s="508">
        <f t="shared" si="3"/>
        <v>60000</v>
      </c>
      <c r="M58" s="507">
        <f>'Table 3 Levels 1&amp;2'!C60</f>
        <v>18645</v>
      </c>
      <c r="N58" s="508">
        <f t="shared" si="4"/>
        <v>1864500</v>
      </c>
      <c r="O58" s="508">
        <f t="shared" si="7"/>
        <v>2606914</v>
      </c>
      <c r="P58" s="259">
        <f>'[6]Table 4 Level 3'!C58+'[6]Table 4 Level 3'!W58+'[6]Table 4 Level 3'!AA58+'[6]Table 4 Level 3'!AE58</f>
        <v>689.74</v>
      </c>
      <c r="Q58" s="508">
        <f>ROUND(P58*'Table 3 Levels 1&amp;2'!C60,0)</f>
        <v>12860202</v>
      </c>
      <c r="R58" s="508">
        <f t="shared" si="8"/>
        <v>15467116</v>
      </c>
    </row>
    <row r="59" spans="1:18">
      <c r="A59" s="257">
        <v>54</v>
      </c>
      <c r="B59" s="258" t="s">
        <v>228</v>
      </c>
      <c r="C59" s="505">
        <v>0</v>
      </c>
      <c r="D59" s="505">
        <v>0</v>
      </c>
      <c r="E59" s="505">
        <f t="shared" si="5"/>
        <v>0</v>
      </c>
      <c r="F59" s="506">
        <f>'[5]Table 4 Level 3'!F59+'[5]Table 4 Level 3'!H59</f>
        <v>0</v>
      </c>
      <c r="G59" s="506">
        <f t="shared" si="1"/>
        <v>0</v>
      </c>
      <c r="H59" s="506">
        <f t="shared" si="6"/>
        <v>0</v>
      </c>
      <c r="I59" s="507">
        <f>IF(F59&lt;0,0,'Table 3 Levels 1&amp;2'!C61)</f>
        <v>675</v>
      </c>
      <c r="J59" s="508">
        <f t="shared" si="2"/>
        <v>24705</v>
      </c>
      <c r="K59" s="509">
        <v>0</v>
      </c>
      <c r="L59" s="508">
        <f t="shared" si="3"/>
        <v>0</v>
      </c>
      <c r="M59" s="507">
        <f>'Table 3 Levels 1&amp;2'!C61</f>
        <v>675</v>
      </c>
      <c r="N59" s="508">
        <f t="shared" si="4"/>
        <v>67500</v>
      </c>
      <c r="O59" s="508">
        <f t="shared" si="7"/>
        <v>92205</v>
      </c>
      <c r="P59" s="259">
        <f>'[6]Table 4 Level 3'!C59+'[6]Table 4 Level 3'!W59+'[6]Table 4 Level 3'!AA59+'[6]Table 4 Level 3'!AE59</f>
        <v>951.45</v>
      </c>
      <c r="Q59" s="508">
        <f>ROUND(P59*'Table 3 Levels 1&amp;2'!C61,0)</f>
        <v>642229</v>
      </c>
      <c r="R59" s="508">
        <f t="shared" si="8"/>
        <v>734434</v>
      </c>
    </row>
    <row r="60" spans="1:18">
      <c r="A60" s="266">
        <v>55</v>
      </c>
      <c r="B60" s="267" t="s">
        <v>229</v>
      </c>
      <c r="C60" s="511">
        <v>0</v>
      </c>
      <c r="D60" s="511">
        <v>0</v>
      </c>
      <c r="E60" s="511">
        <f t="shared" si="5"/>
        <v>0</v>
      </c>
      <c r="F60" s="512">
        <f>'[5]Table 4 Level 3'!F60+'[5]Table 4 Level 3'!H60</f>
        <v>0</v>
      </c>
      <c r="G60" s="512">
        <f t="shared" si="1"/>
        <v>0</v>
      </c>
      <c r="H60" s="512">
        <f t="shared" si="6"/>
        <v>0</v>
      </c>
      <c r="I60" s="513">
        <f>IF(F60&lt;0,0,'Table 3 Levels 1&amp;2'!C62)</f>
        <v>17632</v>
      </c>
      <c r="J60" s="514">
        <f t="shared" si="2"/>
        <v>645338</v>
      </c>
      <c r="K60" s="515">
        <v>0</v>
      </c>
      <c r="L60" s="514">
        <f t="shared" si="3"/>
        <v>0</v>
      </c>
      <c r="M60" s="513">
        <f>'Table 3 Levels 1&amp;2'!C62</f>
        <v>17632</v>
      </c>
      <c r="N60" s="514">
        <f t="shared" si="4"/>
        <v>1763200</v>
      </c>
      <c r="O60" s="514">
        <f t="shared" si="7"/>
        <v>2408538</v>
      </c>
      <c r="P60" s="268">
        <f>'[6]Table 4 Level 3'!C60+'[6]Table 4 Level 3'!W60+'[6]Table 4 Level 3'!AA60+'[6]Table 4 Level 3'!AE60</f>
        <v>795.14</v>
      </c>
      <c r="Q60" s="514">
        <f>ROUND(P60*'Table 3 Levels 1&amp;2'!C62,0)</f>
        <v>14019908</v>
      </c>
      <c r="R60" s="514">
        <f t="shared" si="8"/>
        <v>16428446</v>
      </c>
    </row>
    <row r="61" spans="1:18">
      <c r="A61" s="257">
        <v>56</v>
      </c>
      <c r="B61" s="258" t="s">
        <v>230</v>
      </c>
      <c r="C61" s="505">
        <v>0</v>
      </c>
      <c r="D61" s="505">
        <v>0</v>
      </c>
      <c r="E61" s="505">
        <f t="shared" si="5"/>
        <v>0</v>
      </c>
      <c r="F61" s="506">
        <f>'[5]Table 4 Level 3'!F61+'[5]Table 4 Level 3'!H61</f>
        <v>0</v>
      </c>
      <c r="G61" s="506">
        <f t="shared" si="1"/>
        <v>0</v>
      </c>
      <c r="H61" s="506">
        <f t="shared" si="6"/>
        <v>0</v>
      </c>
      <c r="I61" s="507">
        <f>IF(F61&lt;0,0,'Table 3 Levels 1&amp;2'!C63)</f>
        <v>2821</v>
      </c>
      <c r="J61" s="508">
        <f t="shared" si="2"/>
        <v>103250</v>
      </c>
      <c r="K61" s="509">
        <v>1</v>
      </c>
      <c r="L61" s="508">
        <f t="shared" si="3"/>
        <v>20000</v>
      </c>
      <c r="M61" s="507">
        <f>'Table 3 Levels 1&amp;2'!C63</f>
        <v>2821</v>
      </c>
      <c r="N61" s="508">
        <f t="shared" si="4"/>
        <v>282100</v>
      </c>
      <c r="O61" s="508">
        <f t="shared" si="7"/>
        <v>405350</v>
      </c>
      <c r="P61" s="259">
        <f>'[6]Table 4 Level 3'!C61+'[6]Table 4 Level 3'!W61+'[6]Table 4 Level 3'!AA61+'[6]Table 4 Level 3'!AE61</f>
        <v>614.66000000000008</v>
      </c>
      <c r="Q61" s="508">
        <f>ROUND(P61*'Table 3 Levels 1&amp;2'!C63,0)</f>
        <v>1733956</v>
      </c>
      <c r="R61" s="508">
        <f t="shared" si="8"/>
        <v>2139306</v>
      </c>
    </row>
    <row r="62" spans="1:18">
      <c r="A62" s="257">
        <v>57</v>
      </c>
      <c r="B62" s="258" t="s">
        <v>231</v>
      </c>
      <c r="C62" s="505">
        <v>0</v>
      </c>
      <c r="D62" s="505">
        <v>0</v>
      </c>
      <c r="E62" s="505">
        <f t="shared" si="5"/>
        <v>0</v>
      </c>
      <c r="F62" s="506">
        <f>'[5]Table 4 Level 3'!F62+'[5]Table 4 Level 3'!H62</f>
        <v>0</v>
      </c>
      <c r="G62" s="506">
        <f t="shared" si="1"/>
        <v>0</v>
      </c>
      <c r="H62" s="506">
        <f t="shared" si="6"/>
        <v>0</v>
      </c>
      <c r="I62" s="507">
        <f>IF(F62&lt;0,0,'Table 3 Levels 1&amp;2'!C64)</f>
        <v>8777</v>
      </c>
      <c r="J62" s="508">
        <f t="shared" si="2"/>
        <v>321242</v>
      </c>
      <c r="K62" s="509">
        <v>0</v>
      </c>
      <c r="L62" s="508">
        <f t="shared" si="3"/>
        <v>0</v>
      </c>
      <c r="M62" s="507">
        <f>'Table 3 Levels 1&amp;2'!C64</f>
        <v>8777</v>
      </c>
      <c r="N62" s="508">
        <f t="shared" si="4"/>
        <v>877700</v>
      </c>
      <c r="O62" s="508">
        <f t="shared" si="7"/>
        <v>1198942</v>
      </c>
      <c r="P62" s="259">
        <f>'[6]Table 4 Level 3'!C62+'[6]Table 4 Level 3'!W62+'[6]Table 4 Level 3'!AA62+'[6]Table 4 Level 3'!AE62</f>
        <v>764.51</v>
      </c>
      <c r="Q62" s="508">
        <f>ROUND(P62*'Table 3 Levels 1&amp;2'!C64,0)</f>
        <v>6710104</v>
      </c>
      <c r="R62" s="508">
        <f t="shared" si="8"/>
        <v>7909046</v>
      </c>
    </row>
    <row r="63" spans="1:18">
      <c r="A63" s="257">
        <v>58</v>
      </c>
      <c r="B63" s="258" t="s">
        <v>232</v>
      </c>
      <c r="C63" s="505">
        <v>0</v>
      </c>
      <c r="D63" s="505">
        <v>0</v>
      </c>
      <c r="E63" s="505">
        <f t="shared" si="5"/>
        <v>0</v>
      </c>
      <c r="F63" s="506">
        <f>'[5]Table 4 Level 3'!F63+'[5]Table 4 Level 3'!H63</f>
        <v>0</v>
      </c>
      <c r="G63" s="506">
        <f t="shared" si="1"/>
        <v>0</v>
      </c>
      <c r="H63" s="506">
        <f t="shared" si="6"/>
        <v>0</v>
      </c>
      <c r="I63" s="507">
        <f>IF(F63&lt;0,0,'Table 3 Levels 1&amp;2'!C65)</f>
        <v>9266</v>
      </c>
      <c r="J63" s="508">
        <f t="shared" si="2"/>
        <v>339139</v>
      </c>
      <c r="K63" s="509">
        <v>1</v>
      </c>
      <c r="L63" s="508">
        <f t="shared" si="3"/>
        <v>20000</v>
      </c>
      <c r="M63" s="507">
        <f>'Table 3 Levels 1&amp;2'!C65</f>
        <v>9266</v>
      </c>
      <c r="N63" s="508">
        <f t="shared" si="4"/>
        <v>926600</v>
      </c>
      <c r="O63" s="508">
        <f t="shared" si="7"/>
        <v>1285739</v>
      </c>
      <c r="P63" s="259">
        <f>'[6]Table 4 Level 3'!C63+'[6]Table 4 Level 3'!W63+'[6]Table 4 Level 3'!AA63+'[6]Table 4 Level 3'!AE63</f>
        <v>697.04</v>
      </c>
      <c r="Q63" s="508">
        <f>ROUND(P63*'Table 3 Levels 1&amp;2'!C65,0)</f>
        <v>6458773</v>
      </c>
      <c r="R63" s="508">
        <f t="shared" si="8"/>
        <v>7744512</v>
      </c>
    </row>
    <row r="64" spans="1:18">
      <c r="A64" s="257">
        <v>59</v>
      </c>
      <c r="B64" s="258" t="s">
        <v>233</v>
      </c>
      <c r="C64" s="505">
        <v>0</v>
      </c>
      <c r="D64" s="505">
        <v>0</v>
      </c>
      <c r="E64" s="505">
        <f t="shared" si="5"/>
        <v>0</v>
      </c>
      <c r="F64" s="506">
        <f>'[5]Table 4 Level 3'!F64+'[5]Table 4 Level 3'!H64</f>
        <v>0</v>
      </c>
      <c r="G64" s="506">
        <f t="shared" si="1"/>
        <v>0</v>
      </c>
      <c r="H64" s="506">
        <f t="shared" si="6"/>
        <v>0</v>
      </c>
      <c r="I64" s="507">
        <f>IF(F64&lt;0,0,'Table 3 Levels 1&amp;2'!C66)</f>
        <v>5102</v>
      </c>
      <c r="J64" s="508">
        <f t="shared" si="2"/>
        <v>186735</v>
      </c>
      <c r="K64" s="509">
        <v>0</v>
      </c>
      <c r="L64" s="508">
        <f t="shared" si="3"/>
        <v>0</v>
      </c>
      <c r="M64" s="507">
        <f>'Table 3 Levels 1&amp;2'!C66</f>
        <v>5102</v>
      </c>
      <c r="N64" s="508">
        <f t="shared" si="4"/>
        <v>510200</v>
      </c>
      <c r="O64" s="508">
        <f t="shared" si="7"/>
        <v>696935</v>
      </c>
      <c r="P64" s="259">
        <f>'[6]Table 4 Level 3'!C64+'[6]Table 4 Level 3'!W64+'[6]Table 4 Level 3'!AA64+'[6]Table 4 Level 3'!AE64</f>
        <v>689.52</v>
      </c>
      <c r="Q64" s="508">
        <f>ROUND(P64*'Table 3 Levels 1&amp;2'!C66,0)</f>
        <v>3517931</v>
      </c>
      <c r="R64" s="508">
        <f t="shared" si="8"/>
        <v>4214866</v>
      </c>
    </row>
    <row r="65" spans="1:23">
      <c r="A65" s="266">
        <v>60</v>
      </c>
      <c r="B65" s="267" t="s">
        <v>234</v>
      </c>
      <c r="C65" s="511">
        <v>0</v>
      </c>
      <c r="D65" s="511">
        <v>0</v>
      </c>
      <c r="E65" s="511">
        <f t="shared" si="5"/>
        <v>0</v>
      </c>
      <c r="F65" s="512">
        <f>'[5]Table 4 Level 3'!F65+'[5]Table 4 Level 3'!H65</f>
        <v>0</v>
      </c>
      <c r="G65" s="512">
        <f t="shared" si="1"/>
        <v>0</v>
      </c>
      <c r="H65" s="512">
        <f t="shared" si="6"/>
        <v>0</v>
      </c>
      <c r="I65" s="513">
        <f>IF(F65&lt;0,0,'Table 3 Levels 1&amp;2'!C67)</f>
        <v>6725</v>
      </c>
      <c r="J65" s="514">
        <f t="shared" si="2"/>
        <v>246138</v>
      </c>
      <c r="K65" s="515">
        <v>0</v>
      </c>
      <c r="L65" s="514">
        <f t="shared" si="3"/>
        <v>0</v>
      </c>
      <c r="M65" s="513">
        <f>'Table 3 Levels 1&amp;2'!C67</f>
        <v>6725</v>
      </c>
      <c r="N65" s="514">
        <f t="shared" si="4"/>
        <v>672500</v>
      </c>
      <c r="O65" s="514">
        <f t="shared" si="7"/>
        <v>918638</v>
      </c>
      <c r="P65" s="268">
        <f>'[6]Table 4 Level 3'!C65+'[6]Table 4 Level 3'!W65+'[6]Table 4 Level 3'!AA65+'[6]Table 4 Level 3'!AE65</f>
        <v>594.04</v>
      </c>
      <c r="Q65" s="514">
        <f>ROUND(P65*'Table 3 Levels 1&amp;2'!C67,0)</f>
        <v>3994919</v>
      </c>
      <c r="R65" s="514">
        <f t="shared" si="8"/>
        <v>4913557</v>
      </c>
    </row>
    <row r="66" spans="1:23">
      <c r="A66" s="257">
        <v>61</v>
      </c>
      <c r="B66" s="258" t="s">
        <v>235</v>
      </c>
      <c r="C66" s="505">
        <v>0</v>
      </c>
      <c r="D66" s="505">
        <v>0</v>
      </c>
      <c r="E66" s="505">
        <f t="shared" si="5"/>
        <v>0</v>
      </c>
      <c r="F66" s="506">
        <f>'[5]Table 4 Level 3'!F66+'[5]Table 4 Level 3'!H66</f>
        <v>0</v>
      </c>
      <c r="G66" s="506">
        <f t="shared" si="1"/>
        <v>0</v>
      </c>
      <c r="H66" s="506">
        <f t="shared" si="6"/>
        <v>0</v>
      </c>
      <c r="I66" s="507">
        <f>IF(F66&lt;0,0,'Table 3 Levels 1&amp;2'!C68)</f>
        <v>3470</v>
      </c>
      <c r="J66" s="508">
        <f t="shared" si="2"/>
        <v>127003</v>
      </c>
      <c r="K66" s="509">
        <v>0</v>
      </c>
      <c r="L66" s="508">
        <f t="shared" si="3"/>
        <v>0</v>
      </c>
      <c r="M66" s="507">
        <f>'Table 3 Levels 1&amp;2'!C68</f>
        <v>3470</v>
      </c>
      <c r="N66" s="508">
        <f t="shared" si="4"/>
        <v>347000</v>
      </c>
      <c r="O66" s="508">
        <f t="shared" si="7"/>
        <v>474003</v>
      </c>
      <c r="P66" s="259">
        <f>'[6]Table 4 Level 3'!C66+'[6]Table 4 Level 3'!W66+'[6]Table 4 Level 3'!AA66+'[6]Table 4 Level 3'!AE66</f>
        <v>833.70999999999992</v>
      </c>
      <c r="Q66" s="508">
        <f>ROUND(P66*'Table 3 Levels 1&amp;2'!C68,0)</f>
        <v>2892974</v>
      </c>
      <c r="R66" s="508">
        <f t="shared" si="8"/>
        <v>3366977</v>
      </c>
    </row>
    <row r="67" spans="1:23">
      <c r="A67" s="257">
        <v>62</v>
      </c>
      <c r="B67" s="258" t="s">
        <v>236</v>
      </c>
      <c r="C67" s="505">
        <v>0</v>
      </c>
      <c r="D67" s="505">
        <v>0</v>
      </c>
      <c r="E67" s="505">
        <f t="shared" si="5"/>
        <v>0</v>
      </c>
      <c r="F67" s="506">
        <f>'[5]Table 4 Level 3'!F67+'[5]Table 4 Level 3'!H67</f>
        <v>0</v>
      </c>
      <c r="G67" s="506">
        <f t="shared" si="1"/>
        <v>0</v>
      </c>
      <c r="H67" s="506">
        <f t="shared" si="6"/>
        <v>0</v>
      </c>
      <c r="I67" s="507">
        <f>IF(F67&lt;0,0,'Table 3 Levels 1&amp;2'!C69)</f>
        <v>2122</v>
      </c>
      <c r="J67" s="508">
        <f t="shared" si="2"/>
        <v>77666</v>
      </c>
      <c r="K67" s="509">
        <v>0</v>
      </c>
      <c r="L67" s="508">
        <f t="shared" si="3"/>
        <v>0</v>
      </c>
      <c r="M67" s="507">
        <f>'Table 3 Levels 1&amp;2'!C69</f>
        <v>2122</v>
      </c>
      <c r="N67" s="508">
        <f t="shared" si="4"/>
        <v>212200</v>
      </c>
      <c r="O67" s="508">
        <f t="shared" si="7"/>
        <v>289866</v>
      </c>
      <c r="P67" s="259">
        <f>'[6]Table 4 Level 3'!C67+'[6]Table 4 Level 3'!W67+'[6]Table 4 Level 3'!AA67+'[6]Table 4 Level 3'!AE67</f>
        <v>516.08000000000004</v>
      </c>
      <c r="Q67" s="508">
        <f>ROUND(P67*'Table 3 Levels 1&amp;2'!C69,0)</f>
        <v>1095122</v>
      </c>
      <c r="R67" s="508">
        <f t="shared" si="8"/>
        <v>1384988</v>
      </c>
    </row>
    <row r="68" spans="1:23">
      <c r="A68" s="257">
        <v>63</v>
      </c>
      <c r="B68" s="258" t="s">
        <v>237</v>
      </c>
      <c r="C68" s="505">
        <v>5908357</v>
      </c>
      <c r="D68" s="505">
        <v>680156</v>
      </c>
      <c r="E68" s="505">
        <f t="shared" si="5"/>
        <v>5228201</v>
      </c>
      <c r="F68" s="506">
        <f>'[5]Table 4 Level 3'!F68+'[5]Table 4 Level 3'!H68</f>
        <v>-2091280</v>
      </c>
      <c r="G68" s="506">
        <f t="shared" si="1"/>
        <v>3136921</v>
      </c>
      <c r="H68" s="506">
        <f t="shared" si="6"/>
        <v>-522820</v>
      </c>
      <c r="I68" s="507">
        <f>IF(F68&lt;0,0,'Table 3 Levels 1&amp;2'!C70)</f>
        <v>0</v>
      </c>
      <c r="J68" s="508">
        <f t="shared" si="2"/>
        <v>0</v>
      </c>
      <c r="K68" s="509">
        <v>0</v>
      </c>
      <c r="L68" s="508">
        <f t="shared" si="3"/>
        <v>0</v>
      </c>
      <c r="M68" s="507">
        <f>'Table 3 Levels 1&amp;2'!C70</f>
        <v>2070</v>
      </c>
      <c r="N68" s="508">
        <f t="shared" si="4"/>
        <v>207000</v>
      </c>
      <c r="O68" s="508">
        <f t="shared" si="7"/>
        <v>3501257</v>
      </c>
      <c r="P68" s="259">
        <f>'[6]Table 4 Level 3'!C68+'[6]Table 4 Level 3'!W68+'[6]Table 4 Level 3'!AA68+'[6]Table 4 Level 3'!AE68</f>
        <v>756.79</v>
      </c>
      <c r="Q68" s="508">
        <f>ROUND(P68*'Table 3 Levels 1&amp;2'!C70,0)</f>
        <v>1566555</v>
      </c>
      <c r="R68" s="508">
        <f t="shared" si="8"/>
        <v>5067812</v>
      </c>
    </row>
    <row r="69" spans="1:23">
      <c r="A69" s="257">
        <v>64</v>
      </c>
      <c r="B69" s="258" t="s">
        <v>238</v>
      </c>
      <c r="C69" s="505">
        <v>0</v>
      </c>
      <c r="D69" s="505">
        <v>0</v>
      </c>
      <c r="E69" s="505">
        <f t="shared" si="5"/>
        <v>0</v>
      </c>
      <c r="F69" s="506">
        <f>'[5]Table 4 Level 3'!F69+'[5]Table 4 Level 3'!H69</f>
        <v>0</v>
      </c>
      <c r="G69" s="506">
        <f t="shared" si="1"/>
        <v>0</v>
      </c>
      <c r="H69" s="506">
        <f t="shared" si="6"/>
        <v>0</v>
      </c>
      <c r="I69" s="507">
        <f>IF(F69&lt;0,0,'Table 3 Levels 1&amp;2'!C71)</f>
        <v>2429</v>
      </c>
      <c r="J69" s="508">
        <f t="shared" si="2"/>
        <v>88902</v>
      </c>
      <c r="K69" s="509">
        <v>0</v>
      </c>
      <c r="L69" s="508">
        <f t="shared" si="3"/>
        <v>0</v>
      </c>
      <c r="M69" s="507">
        <f>'Table 3 Levels 1&amp;2'!C71</f>
        <v>2429</v>
      </c>
      <c r="N69" s="508">
        <f t="shared" si="4"/>
        <v>242900</v>
      </c>
      <c r="O69" s="508">
        <f t="shared" si="7"/>
        <v>331802</v>
      </c>
      <c r="P69" s="259">
        <f>'[6]Table 4 Level 3'!C69+'[6]Table 4 Level 3'!W69+'[6]Table 4 Level 3'!AA69+'[6]Table 4 Level 3'!AE69</f>
        <v>592.66</v>
      </c>
      <c r="Q69" s="508">
        <f>ROUND(P69*'Table 3 Levels 1&amp;2'!C71,0)</f>
        <v>1439571</v>
      </c>
      <c r="R69" s="508">
        <f t="shared" si="8"/>
        <v>1771373</v>
      </c>
    </row>
    <row r="70" spans="1:23">
      <c r="A70" s="266">
        <v>65</v>
      </c>
      <c r="B70" s="267" t="s">
        <v>239</v>
      </c>
      <c r="C70" s="511">
        <v>0</v>
      </c>
      <c r="D70" s="511">
        <v>0</v>
      </c>
      <c r="E70" s="511">
        <f t="shared" si="5"/>
        <v>0</v>
      </c>
      <c r="F70" s="512">
        <f>'[5]Table 4 Level 3'!F70+'[5]Table 4 Level 3'!H70</f>
        <v>0</v>
      </c>
      <c r="G70" s="512">
        <f>SUM(E70:F70)</f>
        <v>0</v>
      </c>
      <c r="H70" s="512">
        <f t="shared" si="6"/>
        <v>0</v>
      </c>
      <c r="I70" s="513">
        <f>IF(F70&lt;0,0,'Table 3 Levels 1&amp;2'!C72)</f>
        <v>8436</v>
      </c>
      <c r="J70" s="514">
        <f>ROUND($J$4*I70,0)</f>
        <v>308761</v>
      </c>
      <c r="K70" s="522">
        <v>0</v>
      </c>
      <c r="L70" s="514">
        <f>ROUND($L$4*K70,0)</f>
        <v>0</v>
      </c>
      <c r="M70" s="513">
        <f>'Table 3 Levels 1&amp;2'!C72</f>
        <v>8436</v>
      </c>
      <c r="N70" s="514">
        <f>ROUND(M70*$N$4,0)</f>
        <v>843600</v>
      </c>
      <c r="O70" s="514">
        <f t="shared" si="7"/>
        <v>1152361</v>
      </c>
      <c r="P70" s="268">
        <f>'[6]Table 4 Level 3'!C70+'[6]Table 4 Level 3'!W70+'[6]Table 4 Level 3'!AA70+'[6]Table 4 Level 3'!AE70</f>
        <v>829.12</v>
      </c>
      <c r="Q70" s="514">
        <f>ROUND(P70*'Table 3 Levels 1&amp;2'!C72,0)</f>
        <v>6994456</v>
      </c>
      <c r="R70" s="514">
        <f t="shared" si="8"/>
        <v>8146817</v>
      </c>
    </row>
    <row r="71" spans="1:23">
      <c r="A71" s="279">
        <v>66</v>
      </c>
      <c r="B71" s="280" t="s">
        <v>240</v>
      </c>
      <c r="C71" s="523">
        <v>0</v>
      </c>
      <c r="D71" s="523">
        <v>0</v>
      </c>
      <c r="E71" s="523">
        <f>C71-D71</f>
        <v>0</v>
      </c>
      <c r="F71" s="518">
        <f>'[5]Table 4 Level 3'!F71+'[5]Table 4 Level 3'!H71</f>
        <v>0</v>
      </c>
      <c r="G71" s="518">
        <f>SUM(E71:F71)</f>
        <v>0</v>
      </c>
      <c r="H71" s="518">
        <f>ROUND(-G71/6,0)</f>
        <v>0</v>
      </c>
      <c r="I71" s="519">
        <f>IF(F71&lt;0,0,'Table 3 Levels 1&amp;2'!C73)</f>
        <v>2065</v>
      </c>
      <c r="J71" s="510">
        <f>ROUND($J$4*I71,0)</f>
        <v>75580</v>
      </c>
      <c r="K71" s="524">
        <v>0</v>
      </c>
      <c r="L71" s="510">
        <f>ROUND($L$4*K71,0)</f>
        <v>0</v>
      </c>
      <c r="M71" s="519">
        <f>'Table 3 Levels 1&amp;2'!C73</f>
        <v>2065</v>
      </c>
      <c r="N71" s="510">
        <f>ROUND(M71*$N$4,0)</f>
        <v>206500</v>
      </c>
      <c r="O71" s="510">
        <f>D71+E71+F71+H71+J71+L71+N71</f>
        <v>282080</v>
      </c>
      <c r="P71" s="281">
        <f>'[6]Table 4 Level 3'!C71+'[6]Table 4 Level 3'!W71+'[6]Table 4 Level 3'!AA71+'[6]Table 4 Level 3'!AE71</f>
        <v>730.06</v>
      </c>
      <c r="Q71" s="510">
        <f>ROUND(P71*'Table 3 Levels 1&amp;2'!C73,0)</f>
        <v>1507574</v>
      </c>
      <c r="R71" s="510">
        <f>O71+Q71</f>
        <v>1789654</v>
      </c>
    </row>
    <row r="72" spans="1:23">
      <c r="A72" s="287">
        <v>67</v>
      </c>
      <c r="B72" s="288" t="s">
        <v>241</v>
      </c>
      <c r="C72" s="505">
        <v>0</v>
      </c>
      <c r="D72" s="505">
        <v>0</v>
      </c>
      <c r="E72" s="505">
        <f>C72-D72</f>
        <v>0</v>
      </c>
      <c r="F72" s="506">
        <f>'[5]Table 4 Level 3'!F72+'[5]Table 4 Level 3'!H72</f>
        <v>0</v>
      </c>
      <c r="G72" s="506">
        <f>SUM(E72:F72)</f>
        <v>0</v>
      </c>
      <c r="H72" s="506">
        <f>ROUND(-G72/6,0)</f>
        <v>0</v>
      </c>
      <c r="I72" s="507">
        <f>IF(F72&lt;0,0,'Table 3 Levels 1&amp;2'!C74)</f>
        <v>4870</v>
      </c>
      <c r="J72" s="508">
        <f>ROUND($J$4*I72,0)</f>
        <v>178244</v>
      </c>
      <c r="K72" s="509">
        <v>0</v>
      </c>
      <c r="L72" s="508">
        <f>ROUND($L$4*K72,0)</f>
        <v>0</v>
      </c>
      <c r="M72" s="507">
        <f>'Table 3 Levels 1&amp;2'!C74</f>
        <v>4870</v>
      </c>
      <c r="N72" s="508">
        <f>ROUND(M72*$N$4,0)</f>
        <v>487000</v>
      </c>
      <c r="O72" s="508">
        <f>D72+E72+F72+H72+J72+L72+N72</f>
        <v>665244</v>
      </c>
      <c r="P72" s="259">
        <f>'[6]Table 4 Level 3'!C72+'[6]Table 4 Level 3'!W72+'[6]Table 4 Level 3'!AA72+'[6]Table 4 Level 3'!AE72</f>
        <v>715.61</v>
      </c>
      <c r="Q72" s="508">
        <f>ROUND(P72*'Table 3 Levels 1&amp;2'!C74,0)</f>
        <v>3485021</v>
      </c>
      <c r="R72" s="508">
        <f>O72+Q72</f>
        <v>4150265</v>
      </c>
    </row>
    <row r="73" spans="1:23">
      <c r="A73" s="257">
        <v>68</v>
      </c>
      <c r="B73" s="258" t="s">
        <v>242</v>
      </c>
      <c r="C73" s="505">
        <v>0</v>
      </c>
      <c r="D73" s="505">
        <v>0</v>
      </c>
      <c r="E73" s="505">
        <f>C73-D73</f>
        <v>0</v>
      </c>
      <c r="F73" s="506">
        <f>'[5]Table 4 Level 3'!F73+'[5]Table 4 Level 3'!H73</f>
        <v>0</v>
      </c>
      <c r="G73" s="506">
        <f>SUM(E73:F73)</f>
        <v>0</v>
      </c>
      <c r="H73" s="506">
        <f>ROUND(-G73/6,0)</f>
        <v>0</v>
      </c>
      <c r="I73" s="507">
        <f>IF(F73&lt;0,0,'Table 3 Levels 1&amp;2'!C75)</f>
        <v>1803</v>
      </c>
      <c r="J73" s="508">
        <f>ROUND($J$4*I73,0)</f>
        <v>65991</v>
      </c>
      <c r="K73" s="509">
        <v>0</v>
      </c>
      <c r="L73" s="508">
        <f>ROUND($L$4*K73,0)</f>
        <v>0</v>
      </c>
      <c r="M73" s="507">
        <f>'Table 3 Levels 1&amp;2'!C75</f>
        <v>1803</v>
      </c>
      <c r="N73" s="508">
        <f>ROUND(M73*$N$4,0)</f>
        <v>180300</v>
      </c>
      <c r="O73" s="508">
        <f>D73+E73+F73+H73+J73+L73+N73</f>
        <v>246291</v>
      </c>
      <c r="P73" s="259">
        <f>'[6]Table 4 Level 3'!C73+'[6]Table 4 Level 3'!W73+'[6]Table 4 Level 3'!AA73+'[6]Table 4 Level 3'!AE73</f>
        <v>798.7</v>
      </c>
      <c r="Q73" s="508">
        <f>ROUND(P73*'Table 3 Levels 1&amp;2'!C75,0)</f>
        <v>1440056</v>
      </c>
      <c r="R73" s="508">
        <f>O73+Q73</f>
        <v>1686347</v>
      </c>
    </row>
    <row r="74" spans="1:23">
      <c r="A74" s="266">
        <v>69</v>
      </c>
      <c r="B74" s="267" t="s">
        <v>243</v>
      </c>
      <c r="C74" s="511">
        <v>0</v>
      </c>
      <c r="D74" s="511">
        <v>0</v>
      </c>
      <c r="E74" s="511">
        <f>C74-D74</f>
        <v>0</v>
      </c>
      <c r="F74" s="512">
        <f>'[5]Table 4 Level 3'!F74+'[5]Table 4 Level 3'!H74</f>
        <v>0</v>
      </c>
      <c r="G74" s="512">
        <f>SUM(E74:F74)</f>
        <v>0</v>
      </c>
      <c r="H74" s="512">
        <f>ROUND(-G74/6,0)</f>
        <v>0</v>
      </c>
      <c r="I74" s="513">
        <f>IF(F74&lt;0,0,'Table 3 Levels 1&amp;2'!C76)</f>
        <v>3891</v>
      </c>
      <c r="J74" s="514">
        <f>ROUND($J$4*I74,0)</f>
        <v>142412</v>
      </c>
      <c r="K74" s="522">
        <v>0</v>
      </c>
      <c r="L74" s="514">
        <f>ROUND($L$4*K74,0)</f>
        <v>0</v>
      </c>
      <c r="M74" s="513">
        <f>'Table 3 Levels 1&amp;2'!C76</f>
        <v>3891</v>
      </c>
      <c r="N74" s="514">
        <f>ROUND(M74*$N$4,0)</f>
        <v>389100</v>
      </c>
      <c r="O74" s="514">
        <f>D74+E74+F74+H74+J74+L74+N74</f>
        <v>531512</v>
      </c>
      <c r="P74" s="268">
        <f>'[6]Table 4 Level 3'!C74+'[6]Table 4 Level 3'!W74+'[6]Table 4 Level 3'!AA74+'[6]Table 4 Level 3'!AE74</f>
        <v>705.67</v>
      </c>
      <c r="Q74" s="514">
        <f>ROUND(P74*'Table 3 Levels 1&amp;2'!C76,0)</f>
        <v>2745762</v>
      </c>
      <c r="R74" s="514">
        <f>O74+Q74</f>
        <v>3277274</v>
      </c>
    </row>
    <row r="75" spans="1:23" s="532" customFormat="1" ht="13.5" thickBot="1">
      <c r="A75" s="289"/>
      <c r="B75" s="290" t="s">
        <v>244</v>
      </c>
      <c r="C75" s="525">
        <f t="shared" ref="C75:J75" si="9">SUM(C6:C74)</f>
        <v>76792933</v>
      </c>
      <c r="D75" s="525">
        <f t="shared" si="9"/>
        <v>38336714</v>
      </c>
      <c r="E75" s="525">
        <f t="shared" si="9"/>
        <v>38456219</v>
      </c>
      <c r="F75" s="526">
        <f t="shared" si="9"/>
        <v>-16138031</v>
      </c>
      <c r="G75" s="526">
        <f t="shared" si="9"/>
        <v>22318188</v>
      </c>
      <c r="H75" s="526">
        <f t="shared" si="9"/>
        <v>-3719699</v>
      </c>
      <c r="I75" s="527">
        <f t="shared" si="9"/>
        <v>542555</v>
      </c>
      <c r="J75" s="525">
        <f t="shared" si="9"/>
        <v>19857727</v>
      </c>
      <c r="K75" s="528">
        <f>SUM(K6:K74)</f>
        <v>243</v>
      </c>
      <c r="L75" s="529">
        <f>SUM(L6:L74)</f>
        <v>4860000</v>
      </c>
      <c r="M75" s="528">
        <f>SUM(M6:M74)</f>
        <v>661517</v>
      </c>
      <c r="N75" s="529">
        <f>SUM(N6:N74)</f>
        <v>66151700</v>
      </c>
      <c r="O75" s="529">
        <f>SUM(O6:O74)</f>
        <v>147804630</v>
      </c>
      <c r="P75" s="530">
        <f>Q75/'Table 3 Levels 1&amp;2'!C77</f>
        <v>704.98328052506076</v>
      </c>
      <c r="Q75" s="531">
        <f>SUM(Q6:Q74)</f>
        <v>466358424.78309661</v>
      </c>
      <c r="R75" s="529">
        <f>SUM(R6:R74)</f>
        <v>614163054.78309655</v>
      </c>
    </row>
    <row r="76" spans="1:23" s="532" customFormat="1" ht="13.5" thickTop="1">
      <c r="A76" s="533"/>
      <c r="B76" s="534"/>
      <c r="C76" s="535"/>
      <c r="D76" s="535"/>
      <c r="E76" s="535"/>
      <c r="F76" s="536"/>
      <c r="G76" s="536"/>
      <c r="H76" s="536"/>
      <c r="I76" s="537"/>
      <c r="J76" s="535"/>
      <c r="K76" s="538"/>
      <c r="L76" s="539"/>
      <c r="M76" s="538"/>
      <c r="N76" s="539"/>
      <c r="O76" s="539"/>
      <c r="P76" s="295"/>
      <c r="Q76" s="540"/>
      <c r="R76" s="539"/>
    </row>
    <row r="77" spans="1:23" s="532" customFormat="1">
      <c r="A77" s="541"/>
      <c r="B77" s="542"/>
      <c r="C77" s="543"/>
      <c r="D77" s="543"/>
      <c r="E77" s="543"/>
      <c r="F77" s="543"/>
      <c r="G77" s="543"/>
      <c r="H77" s="543"/>
      <c r="I77" s="543"/>
      <c r="J77" s="543"/>
      <c r="K77" s="543"/>
      <c r="L77" s="543"/>
      <c r="M77" s="543"/>
      <c r="N77" s="543"/>
      <c r="O77" s="543"/>
      <c r="P77" s="250" t="s">
        <v>403</v>
      </c>
      <c r="Q77" s="544"/>
    </row>
    <row r="78" spans="1:23">
      <c r="A78" s="545"/>
      <c r="B78" s="546"/>
      <c r="C78" s="480"/>
      <c r="D78" s="480"/>
      <c r="E78" s="547"/>
      <c r="F78" s="462"/>
      <c r="G78" s="311"/>
      <c r="H78" s="311"/>
      <c r="I78" s="311"/>
      <c r="J78" s="311"/>
      <c r="K78" s="311"/>
      <c r="L78" s="311"/>
      <c r="M78" s="480"/>
      <c r="N78" s="480"/>
      <c r="O78" s="480"/>
      <c r="P78" s="250" t="s">
        <v>404</v>
      </c>
    </row>
    <row r="79" spans="1:23" ht="13.5" hidden="1" customHeight="1">
      <c r="A79" s="545"/>
      <c r="B79" s="546"/>
      <c r="C79" s="480"/>
      <c r="D79" s="480"/>
      <c r="E79" s="548"/>
      <c r="F79" s="311"/>
      <c r="G79" s="1495" t="s">
        <v>405</v>
      </c>
      <c r="H79" s="1496"/>
      <c r="I79" s="1497"/>
      <c r="J79" s="1498"/>
      <c r="K79" s="1488"/>
      <c r="L79" s="311"/>
      <c r="M79" s="547"/>
      <c r="N79" s="547"/>
      <c r="O79" s="547">
        <f>SUM(O6:O74)</f>
        <v>147804630</v>
      </c>
      <c r="P79" s="1691" t="s">
        <v>406</v>
      </c>
      <c r="Q79" s="1691"/>
      <c r="R79" s="1691"/>
    </row>
    <row r="80" spans="1:23" ht="12.75" hidden="1" customHeight="1">
      <c r="A80" s="545"/>
      <c r="B80" s="549"/>
      <c r="E80" s="248"/>
      <c r="G80" s="1499" t="s">
        <v>407</v>
      </c>
      <c r="H80" s="1500"/>
      <c r="I80" s="1499"/>
      <c r="J80" s="1499"/>
      <c r="K80" s="1499"/>
      <c r="L80" s="480"/>
      <c r="P80" s="1691" t="s">
        <v>408</v>
      </c>
      <c r="Q80" s="1691"/>
      <c r="R80" s="1691"/>
      <c r="S80" s="1691"/>
      <c r="T80" s="1691"/>
      <c r="U80" s="1691"/>
      <c r="V80" s="1691"/>
      <c r="W80" s="1691"/>
    </row>
    <row r="81" spans="1:16" hidden="1">
      <c r="A81" s="545"/>
      <c r="B81" s="546"/>
      <c r="G81" s="1499" t="s">
        <v>409</v>
      </c>
      <c r="H81" s="1501"/>
      <c r="I81" s="1499"/>
      <c r="J81" s="1499"/>
      <c r="K81" s="1499"/>
      <c r="L81" s="480"/>
      <c r="P81" s="550" t="s">
        <v>410</v>
      </c>
    </row>
    <row r="82" spans="1:16" hidden="1">
      <c r="A82" s="545"/>
      <c r="B82" s="546"/>
      <c r="G82" s="1499"/>
      <c r="H82" s="1499"/>
      <c r="I82" s="1499"/>
      <c r="J82" s="1499"/>
      <c r="K82" s="1499"/>
      <c r="L82" s="480"/>
      <c r="P82" s="250" t="s">
        <v>411</v>
      </c>
    </row>
    <row r="83" spans="1:16" hidden="1">
      <c r="A83" s="533"/>
      <c r="B83" s="534"/>
      <c r="G83" s="1499" t="s">
        <v>412</v>
      </c>
      <c r="H83" s="1499"/>
      <c r="I83" s="1499"/>
      <c r="J83" s="1499"/>
      <c r="K83" s="1499"/>
      <c r="L83" s="480"/>
      <c r="P83" s="550" t="s">
        <v>413</v>
      </c>
    </row>
    <row r="84" spans="1:16" hidden="1">
      <c r="A84" s="533"/>
      <c r="B84" s="534"/>
      <c r="G84" s="1502" t="s">
        <v>414</v>
      </c>
      <c r="H84" s="1502"/>
      <c r="I84" s="1502"/>
      <c r="J84" s="1502"/>
      <c r="K84" s="1499"/>
      <c r="L84" s="480"/>
    </row>
    <row r="85" spans="1:16" hidden="1">
      <c r="A85" s="480"/>
      <c r="B85" s="480"/>
      <c r="G85" s="1478"/>
      <c r="H85" s="1478"/>
      <c r="I85" s="1478"/>
      <c r="J85" s="1478"/>
      <c r="K85" s="1478"/>
    </row>
    <row r="86" spans="1:16" hidden="1">
      <c r="G86" s="1478"/>
      <c r="H86" s="1478"/>
      <c r="I86" s="1478"/>
      <c r="J86" s="1478"/>
      <c r="K86" s="1478"/>
    </row>
  </sheetData>
  <mergeCells count="21">
    <mergeCell ref="M2:N2"/>
    <mergeCell ref="O2:O4"/>
    <mergeCell ref="M3:M4"/>
    <mergeCell ref="H3:H4"/>
    <mergeCell ref="I3:I4"/>
    <mergeCell ref="K3:K4"/>
    <mergeCell ref="A2:A4"/>
    <mergeCell ref="B2:B4"/>
    <mergeCell ref="C2:J2"/>
    <mergeCell ref="K2:L2"/>
    <mergeCell ref="C3:C4"/>
    <mergeCell ref="D3:D4"/>
    <mergeCell ref="E3:E4"/>
    <mergeCell ref="F3:F4"/>
    <mergeCell ref="G3:G4"/>
    <mergeCell ref="P3:P4"/>
    <mergeCell ref="Q3:Q4"/>
    <mergeCell ref="P79:R79"/>
    <mergeCell ref="P80:W80"/>
    <mergeCell ref="P2:Q2"/>
    <mergeCell ref="R2:R4"/>
  </mergeCells>
  <printOptions horizontalCentered="1"/>
  <pageMargins left="0.25" right="0.24" top="1.08" bottom="0.27" header="0.32" footer="0.35"/>
  <pageSetup paperSize="5" scale="80" firstPageNumber="14" orientation="portrait" useFirstPageNumber="1" r:id="rId1"/>
  <headerFooter alignWithMargins="0">
    <oddHeader>&amp;L&amp;"Arial,Bold"&amp;18Table 4:  FY2011-12 Budget Letter &amp;20
Level 3 Unequalized Funding</oddHeader>
    <oddFooter>&amp;R&amp;12&amp;P</oddFooter>
  </headerFooter>
  <colBreaks count="2" manualBreakCount="2">
    <brk id="10" min="1" max="76" man="1"/>
    <brk id="15" min="1" max="76" man="1"/>
  </colBreaks>
</worksheet>
</file>

<file path=xl/worksheets/sheet7.xml><?xml version="1.0" encoding="utf-8"?>
<worksheet xmlns="http://schemas.openxmlformats.org/spreadsheetml/2006/main" xmlns:r="http://schemas.openxmlformats.org/officeDocument/2006/relationships">
  <dimension ref="A1:G83"/>
  <sheetViews>
    <sheetView view="pageBreakPreview" zoomScaleNormal="80" zoomScaleSheetLayoutView="100" workbookViewId="0">
      <pane xSplit="2" ySplit="3" topLeftCell="C4" activePane="bottomRight" state="frozen"/>
      <selection pane="topRight"/>
      <selection pane="bottomLeft"/>
      <selection pane="bottomRight"/>
    </sheetView>
  </sheetViews>
  <sheetFormatPr defaultRowHeight="12.75"/>
  <cols>
    <col min="1" max="1" width="4.28515625" style="250" customWidth="1"/>
    <col min="2" max="2" width="23" style="250" customWidth="1"/>
    <col min="3" max="3" width="12.7109375" style="250" customWidth="1"/>
    <col min="4" max="4" width="13.7109375" style="250" customWidth="1"/>
    <col min="5" max="5" width="15.42578125" customWidth="1"/>
    <col min="6" max="6" width="13.85546875" customWidth="1"/>
    <col min="7" max="7" width="15.7109375" customWidth="1"/>
    <col min="8" max="8" width="11" customWidth="1"/>
    <col min="257" max="257" width="4.28515625" customWidth="1"/>
    <col min="258" max="258" width="23" customWidth="1"/>
    <col min="259" max="259" width="12.7109375" customWidth="1"/>
    <col min="260" max="260" width="13.7109375" customWidth="1"/>
    <col min="261" max="261" width="15.42578125" customWidth="1"/>
    <col min="262" max="262" width="13.85546875" customWidth="1"/>
    <col min="263" max="263" width="15.7109375" customWidth="1"/>
    <col min="264" max="264" width="11" customWidth="1"/>
    <col min="513" max="513" width="4.28515625" customWidth="1"/>
    <col min="514" max="514" width="23" customWidth="1"/>
    <col min="515" max="515" width="12.7109375" customWidth="1"/>
    <col min="516" max="516" width="13.7109375" customWidth="1"/>
    <col min="517" max="517" width="15.42578125" customWidth="1"/>
    <col min="518" max="518" width="13.85546875" customWidth="1"/>
    <col min="519" max="519" width="15.7109375" customWidth="1"/>
    <col min="520" max="520" width="11" customWidth="1"/>
    <col min="769" max="769" width="4.28515625" customWidth="1"/>
    <col min="770" max="770" width="23" customWidth="1"/>
    <col min="771" max="771" width="12.7109375" customWidth="1"/>
    <col min="772" max="772" width="13.7109375" customWidth="1"/>
    <col min="773" max="773" width="15.42578125" customWidth="1"/>
    <col min="774" max="774" width="13.85546875" customWidth="1"/>
    <col min="775" max="775" width="15.7109375" customWidth="1"/>
    <col min="776" max="776" width="11" customWidth="1"/>
    <col min="1025" max="1025" width="4.28515625" customWidth="1"/>
    <col min="1026" max="1026" width="23" customWidth="1"/>
    <col min="1027" max="1027" width="12.7109375" customWidth="1"/>
    <col min="1028" max="1028" width="13.7109375" customWidth="1"/>
    <col min="1029" max="1029" width="15.42578125" customWidth="1"/>
    <col min="1030" max="1030" width="13.85546875" customWidth="1"/>
    <col min="1031" max="1031" width="15.7109375" customWidth="1"/>
    <col min="1032" max="1032" width="11" customWidth="1"/>
    <col min="1281" max="1281" width="4.28515625" customWidth="1"/>
    <col min="1282" max="1282" width="23" customWidth="1"/>
    <col min="1283" max="1283" width="12.7109375" customWidth="1"/>
    <col min="1284" max="1284" width="13.7109375" customWidth="1"/>
    <col min="1285" max="1285" width="15.42578125" customWidth="1"/>
    <col min="1286" max="1286" width="13.85546875" customWidth="1"/>
    <col min="1287" max="1287" width="15.7109375" customWidth="1"/>
    <col min="1288" max="1288" width="11" customWidth="1"/>
    <col min="1537" max="1537" width="4.28515625" customWidth="1"/>
    <col min="1538" max="1538" width="23" customWidth="1"/>
    <col min="1539" max="1539" width="12.7109375" customWidth="1"/>
    <col min="1540" max="1540" width="13.7109375" customWidth="1"/>
    <col min="1541" max="1541" width="15.42578125" customWidth="1"/>
    <col min="1542" max="1542" width="13.85546875" customWidth="1"/>
    <col min="1543" max="1543" width="15.7109375" customWidth="1"/>
    <col min="1544" max="1544" width="11" customWidth="1"/>
    <col min="1793" max="1793" width="4.28515625" customWidth="1"/>
    <col min="1794" max="1794" width="23" customWidth="1"/>
    <col min="1795" max="1795" width="12.7109375" customWidth="1"/>
    <col min="1796" max="1796" width="13.7109375" customWidth="1"/>
    <col min="1797" max="1797" width="15.42578125" customWidth="1"/>
    <col min="1798" max="1798" width="13.85546875" customWidth="1"/>
    <col min="1799" max="1799" width="15.7109375" customWidth="1"/>
    <col min="1800" max="1800" width="11" customWidth="1"/>
    <col min="2049" max="2049" width="4.28515625" customWidth="1"/>
    <col min="2050" max="2050" width="23" customWidth="1"/>
    <col min="2051" max="2051" width="12.7109375" customWidth="1"/>
    <col min="2052" max="2052" width="13.7109375" customWidth="1"/>
    <col min="2053" max="2053" width="15.42578125" customWidth="1"/>
    <col min="2054" max="2054" width="13.85546875" customWidth="1"/>
    <col min="2055" max="2055" width="15.7109375" customWidth="1"/>
    <col min="2056" max="2056" width="11" customWidth="1"/>
    <col min="2305" max="2305" width="4.28515625" customWidth="1"/>
    <col min="2306" max="2306" width="23" customWidth="1"/>
    <col min="2307" max="2307" width="12.7109375" customWidth="1"/>
    <col min="2308" max="2308" width="13.7109375" customWidth="1"/>
    <col min="2309" max="2309" width="15.42578125" customWidth="1"/>
    <col min="2310" max="2310" width="13.85546875" customWidth="1"/>
    <col min="2311" max="2311" width="15.7109375" customWidth="1"/>
    <col min="2312" max="2312" width="11" customWidth="1"/>
    <col min="2561" max="2561" width="4.28515625" customWidth="1"/>
    <col min="2562" max="2562" width="23" customWidth="1"/>
    <col min="2563" max="2563" width="12.7109375" customWidth="1"/>
    <col min="2564" max="2564" width="13.7109375" customWidth="1"/>
    <col min="2565" max="2565" width="15.42578125" customWidth="1"/>
    <col min="2566" max="2566" width="13.85546875" customWidth="1"/>
    <col min="2567" max="2567" width="15.7109375" customWidth="1"/>
    <col min="2568" max="2568" width="11" customWidth="1"/>
    <col min="2817" max="2817" width="4.28515625" customWidth="1"/>
    <col min="2818" max="2818" width="23" customWidth="1"/>
    <col min="2819" max="2819" width="12.7109375" customWidth="1"/>
    <col min="2820" max="2820" width="13.7109375" customWidth="1"/>
    <col min="2821" max="2821" width="15.42578125" customWidth="1"/>
    <col min="2822" max="2822" width="13.85546875" customWidth="1"/>
    <col min="2823" max="2823" width="15.7109375" customWidth="1"/>
    <col min="2824" max="2824" width="11" customWidth="1"/>
    <col min="3073" max="3073" width="4.28515625" customWidth="1"/>
    <col min="3074" max="3074" width="23" customWidth="1"/>
    <col min="3075" max="3075" width="12.7109375" customWidth="1"/>
    <col min="3076" max="3076" width="13.7109375" customWidth="1"/>
    <col min="3077" max="3077" width="15.42578125" customWidth="1"/>
    <col min="3078" max="3078" width="13.85546875" customWidth="1"/>
    <col min="3079" max="3079" width="15.7109375" customWidth="1"/>
    <col min="3080" max="3080" width="11" customWidth="1"/>
    <col min="3329" max="3329" width="4.28515625" customWidth="1"/>
    <col min="3330" max="3330" width="23" customWidth="1"/>
    <col min="3331" max="3331" width="12.7109375" customWidth="1"/>
    <col min="3332" max="3332" width="13.7109375" customWidth="1"/>
    <col min="3333" max="3333" width="15.42578125" customWidth="1"/>
    <col min="3334" max="3334" width="13.85546875" customWidth="1"/>
    <col min="3335" max="3335" width="15.7109375" customWidth="1"/>
    <col min="3336" max="3336" width="11" customWidth="1"/>
    <col min="3585" max="3585" width="4.28515625" customWidth="1"/>
    <col min="3586" max="3586" width="23" customWidth="1"/>
    <col min="3587" max="3587" width="12.7109375" customWidth="1"/>
    <col min="3588" max="3588" width="13.7109375" customWidth="1"/>
    <col min="3589" max="3589" width="15.42578125" customWidth="1"/>
    <col min="3590" max="3590" width="13.85546875" customWidth="1"/>
    <col min="3591" max="3591" width="15.7109375" customWidth="1"/>
    <col min="3592" max="3592" width="11" customWidth="1"/>
    <col min="3841" max="3841" width="4.28515625" customWidth="1"/>
    <col min="3842" max="3842" width="23" customWidth="1"/>
    <col min="3843" max="3843" width="12.7109375" customWidth="1"/>
    <col min="3844" max="3844" width="13.7109375" customWidth="1"/>
    <col min="3845" max="3845" width="15.42578125" customWidth="1"/>
    <col min="3846" max="3846" width="13.85546875" customWidth="1"/>
    <col min="3847" max="3847" width="15.7109375" customWidth="1"/>
    <col min="3848" max="3848" width="11" customWidth="1"/>
    <col min="4097" max="4097" width="4.28515625" customWidth="1"/>
    <col min="4098" max="4098" width="23" customWidth="1"/>
    <col min="4099" max="4099" width="12.7109375" customWidth="1"/>
    <col min="4100" max="4100" width="13.7109375" customWidth="1"/>
    <col min="4101" max="4101" width="15.42578125" customWidth="1"/>
    <col min="4102" max="4102" width="13.85546875" customWidth="1"/>
    <col min="4103" max="4103" width="15.7109375" customWidth="1"/>
    <col min="4104" max="4104" width="11" customWidth="1"/>
    <col min="4353" max="4353" width="4.28515625" customWidth="1"/>
    <col min="4354" max="4354" width="23" customWidth="1"/>
    <col min="4355" max="4355" width="12.7109375" customWidth="1"/>
    <col min="4356" max="4356" width="13.7109375" customWidth="1"/>
    <col min="4357" max="4357" width="15.42578125" customWidth="1"/>
    <col min="4358" max="4358" width="13.85546875" customWidth="1"/>
    <col min="4359" max="4359" width="15.7109375" customWidth="1"/>
    <col min="4360" max="4360" width="11" customWidth="1"/>
    <col min="4609" max="4609" width="4.28515625" customWidth="1"/>
    <col min="4610" max="4610" width="23" customWidth="1"/>
    <col min="4611" max="4611" width="12.7109375" customWidth="1"/>
    <col min="4612" max="4612" width="13.7109375" customWidth="1"/>
    <col min="4613" max="4613" width="15.42578125" customWidth="1"/>
    <col min="4614" max="4614" width="13.85546875" customWidth="1"/>
    <col min="4615" max="4615" width="15.7109375" customWidth="1"/>
    <col min="4616" max="4616" width="11" customWidth="1"/>
    <col min="4865" max="4865" width="4.28515625" customWidth="1"/>
    <col min="4866" max="4866" width="23" customWidth="1"/>
    <col min="4867" max="4867" width="12.7109375" customWidth="1"/>
    <col min="4868" max="4868" width="13.7109375" customWidth="1"/>
    <col min="4869" max="4869" width="15.42578125" customWidth="1"/>
    <col min="4870" max="4870" width="13.85546875" customWidth="1"/>
    <col min="4871" max="4871" width="15.7109375" customWidth="1"/>
    <col min="4872" max="4872" width="11" customWidth="1"/>
    <col min="5121" max="5121" width="4.28515625" customWidth="1"/>
    <col min="5122" max="5122" width="23" customWidth="1"/>
    <col min="5123" max="5123" width="12.7109375" customWidth="1"/>
    <col min="5124" max="5124" width="13.7109375" customWidth="1"/>
    <col min="5125" max="5125" width="15.42578125" customWidth="1"/>
    <col min="5126" max="5126" width="13.85546875" customWidth="1"/>
    <col min="5127" max="5127" width="15.7109375" customWidth="1"/>
    <col min="5128" max="5128" width="11" customWidth="1"/>
    <col min="5377" max="5377" width="4.28515625" customWidth="1"/>
    <col min="5378" max="5378" width="23" customWidth="1"/>
    <col min="5379" max="5379" width="12.7109375" customWidth="1"/>
    <col min="5380" max="5380" width="13.7109375" customWidth="1"/>
    <col min="5381" max="5381" width="15.42578125" customWidth="1"/>
    <col min="5382" max="5382" width="13.85546875" customWidth="1"/>
    <col min="5383" max="5383" width="15.7109375" customWidth="1"/>
    <col min="5384" max="5384" width="11" customWidth="1"/>
    <col min="5633" max="5633" width="4.28515625" customWidth="1"/>
    <col min="5634" max="5634" width="23" customWidth="1"/>
    <col min="5635" max="5635" width="12.7109375" customWidth="1"/>
    <col min="5636" max="5636" width="13.7109375" customWidth="1"/>
    <col min="5637" max="5637" width="15.42578125" customWidth="1"/>
    <col min="5638" max="5638" width="13.85546875" customWidth="1"/>
    <col min="5639" max="5639" width="15.7109375" customWidth="1"/>
    <col min="5640" max="5640" width="11" customWidth="1"/>
    <col min="5889" max="5889" width="4.28515625" customWidth="1"/>
    <col min="5890" max="5890" width="23" customWidth="1"/>
    <col min="5891" max="5891" width="12.7109375" customWidth="1"/>
    <col min="5892" max="5892" width="13.7109375" customWidth="1"/>
    <col min="5893" max="5893" width="15.42578125" customWidth="1"/>
    <col min="5894" max="5894" width="13.85546875" customWidth="1"/>
    <col min="5895" max="5895" width="15.7109375" customWidth="1"/>
    <col min="5896" max="5896" width="11" customWidth="1"/>
    <col min="6145" max="6145" width="4.28515625" customWidth="1"/>
    <col min="6146" max="6146" width="23" customWidth="1"/>
    <col min="6147" max="6147" width="12.7109375" customWidth="1"/>
    <col min="6148" max="6148" width="13.7109375" customWidth="1"/>
    <col min="6149" max="6149" width="15.42578125" customWidth="1"/>
    <col min="6150" max="6150" width="13.85546875" customWidth="1"/>
    <col min="6151" max="6151" width="15.7109375" customWidth="1"/>
    <col min="6152" max="6152" width="11" customWidth="1"/>
    <col min="6401" max="6401" width="4.28515625" customWidth="1"/>
    <col min="6402" max="6402" width="23" customWidth="1"/>
    <col min="6403" max="6403" width="12.7109375" customWidth="1"/>
    <col min="6404" max="6404" width="13.7109375" customWidth="1"/>
    <col min="6405" max="6405" width="15.42578125" customWidth="1"/>
    <col min="6406" max="6406" width="13.85546875" customWidth="1"/>
    <col min="6407" max="6407" width="15.7109375" customWidth="1"/>
    <col min="6408" max="6408" width="11" customWidth="1"/>
    <col min="6657" max="6657" width="4.28515625" customWidth="1"/>
    <col min="6658" max="6658" width="23" customWidth="1"/>
    <col min="6659" max="6659" width="12.7109375" customWidth="1"/>
    <col min="6660" max="6660" width="13.7109375" customWidth="1"/>
    <col min="6661" max="6661" width="15.42578125" customWidth="1"/>
    <col min="6662" max="6662" width="13.85546875" customWidth="1"/>
    <col min="6663" max="6663" width="15.7109375" customWidth="1"/>
    <col min="6664" max="6664" width="11" customWidth="1"/>
    <col min="6913" max="6913" width="4.28515625" customWidth="1"/>
    <col min="6914" max="6914" width="23" customWidth="1"/>
    <col min="6915" max="6915" width="12.7109375" customWidth="1"/>
    <col min="6916" max="6916" width="13.7109375" customWidth="1"/>
    <col min="6917" max="6917" width="15.42578125" customWidth="1"/>
    <col min="6918" max="6918" width="13.85546875" customWidth="1"/>
    <col min="6919" max="6919" width="15.7109375" customWidth="1"/>
    <col min="6920" max="6920" width="11" customWidth="1"/>
    <col min="7169" max="7169" width="4.28515625" customWidth="1"/>
    <col min="7170" max="7170" width="23" customWidth="1"/>
    <col min="7171" max="7171" width="12.7109375" customWidth="1"/>
    <col min="7172" max="7172" width="13.7109375" customWidth="1"/>
    <col min="7173" max="7173" width="15.42578125" customWidth="1"/>
    <col min="7174" max="7174" width="13.85546875" customWidth="1"/>
    <col min="7175" max="7175" width="15.7109375" customWidth="1"/>
    <col min="7176" max="7176" width="11" customWidth="1"/>
    <col min="7425" max="7425" width="4.28515625" customWidth="1"/>
    <col min="7426" max="7426" width="23" customWidth="1"/>
    <col min="7427" max="7427" width="12.7109375" customWidth="1"/>
    <col min="7428" max="7428" width="13.7109375" customWidth="1"/>
    <col min="7429" max="7429" width="15.42578125" customWidth="1"/>
    <col min="7430" max="7430" width="13.85546875" customWidth="1"/>
    <col min="7431" max="7431" width="15.7109375" customWidth="1"/>
    <col min="7432" max="7432" width="11" customWidth="1"/>
    <col min="7681" max="7681" width="4.28515625" customWidth="1"/>
    <col min="7682" max="7682" width="23" customWidth="1"/>
    <col min="7683" max="7683" width="12.7109375" customWidth="1"/>
    <col min="7684" max="7684" width="13.7109375" customWidth="1"/>
    <col min="7685" max="7685" width="15.42578125" customWidth="1"/>
    <col min="7686" max="7686" width="13.85546875" customWidth="1"/>
    <col min="7687" max="7687" width="15.7109375" customWidth="1"/>
    <col min="7688" max="7688" width="11" customWidth="1"/>
    <col min="7937" max="7937" width="4.28515625" customWidth="1"/>
    <col min="7938" max="7938" width="23" customWidth="1"/>
    <col min="7939" max="7939" width="12.7109375" customWidth="1"/>
    <col min="7940" max="7940" width="13.7109375" customWidth="1"/>
    <col min="7941" max="7941" width="15.42578125" customWidth="1"/>
    <col min="7942" max="7942" width="13.85546875" customWidth="1"/>
    <col min="7943" max="7943" width="15.7109375" customWidth="1"/>
    <col min="7944" max="7944" width="11" customWidth="1"/>
    <col min="8193" max="8193" width="4.28515625" customWidth="1"/>
    <col min="8194" max="8194" width="23" customWidth="1"/>
    <col min="8195" max="8195" width="12.7109375" customWidth="1"/>
    <col min="8196" max="8196" width="13.7109375" customWidth="1"/>
    <col min="8197" max="8197" width="15.42578125" customWidth="1"/>
    <col min="8198" max="8198" width="13.85546875" customWidth="1"/>
    <col min="8199" max="8199" width="15.7109375" customWidth="1"/>
    <col min="8200" max="8200" width="11" customWidth="1"/>
    <col min="8449" max="8449" width="4.28515625" customWidth="1"/>
    <col min="8450" max="8450" width="23" customWidth="1"/>
    <col min="8451" max="8451" width="12.7109375" customWidth="1"/>
    <col min="8452" max="8452" width="13.7109375" customWidth="1"/>
    <col min="8453" max="8453" width="15.42578125" customWidth="1"/>
    <col min="8454" max="8454" width="13.85546875" customWidth="1"/>
    <col min="8455" max="8455" width="15.7109375" customWidth="1"/>
    <col min="8456" max="8456" width="11" customWidth="1"/>
    <col min="8705" max="8705" width="4.28515625" customWidth="1"/>
    <col min="8706" max="8706" width="23" customWidth="1"/>
    <col min="8707" max="8707" width="12.7109375" customWidth="1"/>
    <col min="8708" max="8708" width="13.7109375" customWidth="1"/>
    <col min="8709" max="8709" width="15.42578125" customWidth="1"/>
    <col min="8710" max="8710" width="13.85546875" customWidth="1"/>
    <col min="8711" max="8711" width="15.7109375" customWidth="1"/>
    <col min="8712" max="8712" width="11" customWidth="1"/>
    <col min="8961" max="8961" width="4.28515625" customWidth="1"/>
    <col min="8962" max="8962" width="23" customWidth="1"/>
    <col min="8963" max="8963" width="12.7109375" customWidth="1"/>
    <col min="8964" max="8964" width="13.7109375" customWidth="1"/>
    <col min="8965" max="8965" width="15.42578125" customWidth="1"/>
    <col min="8966" max="8966" width="13.85546875" customWidth="1"/>
    <col min="8967" max="8967" width="15.7109375" customWidth="1"/>
    <col min="8968" max="8968" width="11" customWidth="1"/>
    <col min="9217" max="9217" width="4.28515625" customWidth="1"/>
    <col min="9218" max="9218" width="23" customWidth="1"/>
    <col min="9219" max="9219" width="12.7109375" customWidth="1"/>
    <col min="9220" max="9220" width="13.7109375" customWidth="1"/>
    <col min="9221" max="9221" width="15.42578125" customWidth="1"/>
    <col min="9222" max="9222" width="13.85546875" customWidth="1"/>
    <col min="9223" max="9223" width="15.7109375" customWidth="1"/>
    <col min="9224" max="9224" width="11" customWidth="1"/>
    <col min="9473" max="9473" width="4.28515625" customWidth="1"/>
    <col min="9474" max="9474" width="23" customWidth="1"/>
    <col min="9475" max="9475" width="12.7109375" customWidth="1"/>
    <col min="9476" max="9476" width="13.7109375" customWidth="1"/>
    <col min="9477" max="9477" width="15.42578125" customWidth="1"/>
    <col min="9478" max="9478" width="13.85546875" customWidth="1"/>
    <col min="9479" max="9479" width="15.7109375" customWidth="1"/>
    <col min="9480" max="9480" width="11" customWidth="1"/>
    <col min="9729" max="9729" width="4.28515625" customWidth="1"/>
    <col min="9730" max="9730" width="23" customWidth="1"/>
    <col min="9731" max="9731" width="12.7109375" customWidth="1"/>
    <col min="9732" max="9732" width="13.7109375" customWidth="1"/>
    <col min="9733" max="9733" width="15.42578125" customWidth="1"/>
    <col min="9734" max="9734" width="13.85546875" customWidth="1"/>
    <col min="9735" max="9735" width="15.7109375" customWidth="1"/>
    <col min="9736" max="9736" width="11" customWidth="1"/>
    <col min="9985" max="9985" width="4.28515625" customWidth="1"/>
    <col min="9986" max="9986" width="23" customWidth="1"/>
    <col min="9987" max="9987" width="12.7109375" customWidth="1"/>
    <col min="9988" max="9988" width="13.7109375" customWidth="1"/>
    <col min="9989" max="9989" width="15.42578125" customWidth="1"/>
    <col min="9990" max="9990" width="13.85546875" customWidth="1"/>
    <col min="9991" max="9991" width="15.7109375" customWidth="1"/>
    <col min="9992" max="9992" width="11" customWidth="1"/>
    <col min="10241" max="10241" width="4.28515625" customWidth="1"/>
    <col min="10242" max="10242" width="23" customWidth="1"/>
    <col min="10243" max="10243" width="12.7109375" customWidth="1"/>
    <col min="10244" max="10244" width="13.7109375" customWidth="1"/>
    <col min="10245" max="10245" width="15.42578125" customWidth="1"/>
    <col min="10246" max="10246" width="13.85546875" customWidth="1"/>
    <col min="10247" max="10247" width="15.7109375" customWidth="1"/>
    <col min="10248" max="10248" width="11" customWidth="1"/>
    <col min="10497" max="10497" width="4.28515625" customWidth="1"/>
    <col min="10498" max="10498" width="23" customWidth="1"/>
    <col min="10499" max="10499" width="12.7109375" customWidth="1"/>
    <col min="10500" max="10500" width="13.7109375" customWidth="1"/>
    <col min="10501" max="10501" width="15.42578125" customWidth="1"/>
    <col min="10502" max="10502" width="13.85546875" customWidth="1"/>
    <col min="10503" max="10503" width="15.7109375" customWidth="1"/>
    <col min="10504" max="10504" width="11" customWidth="1"/>
    <col min="10753" max="10753" width="4.28515625" customWidth="1"/>
    <col min="10754" max="10754" width="23" customWidth="1"/>
    <col min="10755" max="10755" width="12.7109375" customWidth="1"/>
    <col min="10756" max="10756" width="13.7109375" customWidth="1"/>
    <col min="10757" max="10757" width="15.42578125" customWidth="1"/>
    <col min="10758" max="10758" width="13.85546875" customWidth="1"/>
    <col min="10759" max="10759" width="15.7109375" customWidth="1"/>
    <col min="10760" max="10760" width="11" customWidth="1"/>
    <col min="11009" max="11009" width="4.28515625" customWidth="1"/>
    <col min="11010" max="11010" width="23" customWidth="1"/>
    <col min="11011" max="11011" width="12.7109375" customWidth="1"/>
    <col min="11012" max="11012" width="13.7109375" customWidth="1"/>
    <col min="11013" max="11013" width="15.42578125" customWidth="1"/>
    <col min="11014" max="11014" width="13.85546875" customWidth="1"/>
    <col min="11015" max="11015" width="15.7109375" customWidth="1"/>
    <col min="11016" max="11016" width="11" customWidth="1"/>
    <col min="11265" max="11265" width="4.28515625" customWidth="1"/>
    <col min="11266" max="11266" width="23" customWidth="1"/>
    <col min="11267" max="11267" width="12.7109375" customWidth="1"/>
    <col min="11268" max="11268" width="13.7109375" customWidth="1"/>
    <col min="11269" max="11269" width="15.42578125" customWidth="1"/>
    <col min="11270" max="11270" width="13.85546875" customWidth="1"/>
    <col min="11271" max="11271" width="15.7109375" customWidth="1"/>
    <col min="11272" max="11272" width="11" customWidth="1"/>
    <col min="11521" max="11521" width="4.28515625" customWidth="1"/>
    <col min="11522" max="11522" width="23" customWidth="1"/>
    <col min="11523" max="11523" width="12.7109375" customWidth="1"/>
    <col min="11524" max="11524" width="13.7109375" customWidth="1"/>
    <col min="11525" max="11525" width="15.42578125" customWidth="1"/>
    <col min="11526" max="11526" width="13.85546875" customWidth="1"/>
    <col min="11527" max="11527" width="15.7109375" customWidth="1"/>
    <col min="11528" max="11528" width="11" customWidth="1"/>
    <col min="11777" max="11777" width="4.28515625" customWidth="1"/>
    <col min="11778" max="11778" width="23" customWidth="1"/>
    <col min="11779" max="11779" width="12.7109375" customWidth="1"/>
    <col min="11780" max="11780" width="13.7109375" customWidth="1"/>
    <col min="11781" max="11781" width="15.42578125" customWidth="1"/>
    <col min="11782" max="11782" width="13.85546875" customWidth="1"/>
    <col min="11783" max="11783" width="15.7109375" customWidth="1"/>
    <col min="11784" max="11784" width="11" customWidth="1"/>
    <col min="12033" max="12033" width="4.28515625" customWidth="1"/>
    <col min="12034" max="12034" width="23" customWidth="1"/>
    <col min="12035" max="12035" width="12.7109375" customWidth="1"/>
    <col min="12036" max="12036" width="13.7109375" customWidth="1"/>
    <col min="12037" max="12037" width="15.42578125" customWidth="1"/>
    <col min="12038" max="12038" width="13.85546875" customWidth="1"/>
    <col min="12039" max="12039" width="15.7109375" customWidth="1"/>
    <col min="12040" max="12040" width="11" customWidth="1"/>
    <col min="12289" max="12289" width="4.28515625" customWidth="1"/>
    <col min="12290" max="12290" width="23" customWidth="1"/>
    <col min="12291" max="12291" width="12.7109375" customWidth="1"/>
    <col min="12292" max="12292" width="13.7109375" customWidth="1"/>
    <col min="12293" max="12293" width="15.42578125" customWidth="1"/>
    <col min="12294" max="12294" width="13.85546875" customWidth="1"/>
    <col min="12295" max="12295" width="15.7109375" customWidth="1"/>
    <col min="12296" max="12296" width="11" customWidth="1"/>
    <col min="12545" max="12545" width="4.28515625" customWidth="1"/>
    <col min="12546" max="12546" width="23" customWidth="1"/>
    <col min="12547" max="12547" width="12.7109375" customWidth="1"/>
    <col min="12548" max="12548" width="13.7109375" customWidth="1"/>
    <col min="12549" max="12549" width="15.42578125" customWidth="1"/>
    <col min="12550" max="12550" width="13.85546875" customWidth="1"/>
    <col min="12551" max="12551" width="15.7109375" customWidth="1"/>
    <col min="12552" max="12552" width="11" customWidth="1"/>
    <col min="12801" max="12801" width="4.28515625" customWidth="1"/>
    <col min="12802" max="12802" width="23" customWidth="1"/>
    <col min="12803" max="12803" width="12.7109375" customWidth="1"/>
    <col min="12804" max="12804" width="13.7109375" customWidth="1"/>
    <col min="12805" max="12805" width="15.42578125" customWidth="1"/>
    <col min="12806" max="12806" width="13.85546875" customWidth="1"/>
    <col min="12807" max="12807" width="15.7109375" customWidth="1"/>
    <col min="12808" max="12808" width="11" customWidth="1"/>
    <col min="13057" max="13057" width="4.28515625" customWidth="1"/>
    <col min="13058" max="13058" width="23" customWidth="1"/>
    <col min="13059" max="13059" width="12.7109375" customWidth="1"/>
    <col min="13060" max="13060" width="13.7109375" customWidth="1"/>
    <col min="13061" max="13061" width="15.42578125" customWidth="1"/>
    <col min="13062" max="13062" width="13.85546875" customWidth="1"/>
    <col min="13063" max="13063" width="15.7109375" customWidth="1"/>
    <col min="13064" max="13064" width="11" customWidth="1"/>
    <col min="13313" max="13313" width="4.28515625" customWidth="1"/>
    <col min="13314" max="13314" width="23" customWidth="1"/>
    <col min="13315" max="13315" width="12.7109375" customWidth="1"/>
    <col min="13316" max="13316" width="13.7109375" customWidth="1"/>
    <col min="13317" max="13317" width="15.42578125" customWidth="1"/>
    <col min="13318" max="13318" width="13.85546875" customWidth="1"/>
    <col min="13319" max="13319" width="15.7109375" customWidth="1"/>
    <col min="13320" max="13320" width="11" customWidth="1"/>
    <col min="13569" max="13569" width="4.28515625" customWidth="1"/>
    <col min="13570" max="13570" width="23" customWidth="1"/>
    <col min="13571" max="13571" width="12.7109375" customWidth="1"/>
    <col min="13572" max="13572" width="13.7109375" customWidth="1"/>
    <col min="13573" max="13573" width="15.42578125" customWidth="1"/>
    <col min="13574" max="13574" width="13.85546875" customWidth="1"/>
    <col min="13575" max="13575" width="15.7109375" customWidth="1"/>
    <col min="13576" max="13576" width="11" customWidth="1"/>
    <col min="13825" max="13825" width="4.28515625" customWidth="1"/>
    <col min="13826" max="13826" width="23" customWidth="1"/>
    <col min="13827" max="13827" width="12.7109375" customWidth="1"/>
    <col min="13828" max="13828" width="13.7109375" customWidth="1"/>
    <col min="13829" max="13829" width="15.42578125" customWidth="1"/>
    <col min="13830" max="13830" width="13.85546875" customWidth="1"/>
    <col min="13831" max="13831" width="15.7109375" customWidth="1"/>
    <col min="13832" max="13832" width="11" customWidth="1"/>
    <col min="14081" max="14081" width="4.28515625" customWidth="1"/>
    <col min="14082" max="14082" width="23" customWidth="1"/>
    <col min="14083" max="14083" width="12.7109375" customWidth="1"/>
    <col min="14084" max="14084" width="13.7109375" customWidth="1"/>
    <col min="14085" max="14085" width="15.42578125" customWidth="1"/>
    <col min="14086" max="14086" width="13.85546875" customWidth="1"/>
    <col min="14087" max="14087" width="15.7109375" customWidth="1"/>
    <col min="14088" max="14088" width="11" customWidth="1"/>
    <col min="14337" max="14337" width="4.28515625" customWidth="1"/>
    <col min="14338" max="14338" width="23" customWidth="1"/>
    <col min="14339" max="14339" width="12.7109375" customWidth="1"/>
    <col min="14340" max="14340" width="13.7109375" customWidth="1"/>
    <col min="14341" max="14341" width="15.42578125" customWidth="1"/>
    <col min="14342" max="14342" width="13.85546875" customWidth="1"/>
    <col min="14343" max="14343" width="15.7109375" customWidth="1"/>
    <col min="14344" max="14344" width="11" customWidth="1"/>
    <col min="14593" max="14593" width="4.28515625" customWidth="1"/>
    <col min="14594" max="14594" width="23" customWidth="1"/>
    <col min="14595" max="14595" width="12.7109375" customWidth="1"/>
    <col min="14596" max="14596" width="13.7109375" customWidth="1"/>
    <col min="14597" max="14597" width="15.42578125" customWidth="1"/>
    <col min="14598" max="14598" width="13.85546875" customWidth="1"/>
    <col min="14599" max="14599" width="15.7109375" customWidth="1"/>
    <col min="14600" max="14600" width="11" customWidth="1"/>
    <col min="14849" max="14849" width="4.28515625" customWidth="1"/>
    <col min="14850" max="14850" width="23" customWidth="1"/>
    <col min="14851" max="14851" width="12.7109375" customWidth="1"/>
    <col min="14852" max="14852" width="13.7109375" customWidth="1"/>
    <col min="14853" max="14853" width="15.42578125" customWidth="1"/>
    <col min="14854" max="14854" width="13.85546875" customWidth="1"/>
    <col min="14855" max="14855" width="15.7109375" customWidth="1"/>
    <col min="14856" max="14856" width="11" customWidth="1"/>
    <col min="15105" max="15105" width="4.28515625" customWidth="1"/>
    <col min="15106" max="15106" width="23" customWidth="1"/>
    <col min="15107" max="15107" width="12.7109375" customWidth="1"/>
    <col min="15108" max="15108" width="13.7109375" customWidth="1"/>
    <col min="15109" max="15109" width="15.42578125" customWidth="1"/>
    <col min="15110" max="15110" width="13.85546875" customWidth="1"/>
    <col min="15111" max="15111" width="15.7109375" customWidth="1"/>
    <col min="15112" max="15112" width="11" customWidth="1"/>
    <col min="15361" max="15361" width="4.28515625" customWidth="1"/>
    <col min="15362" max="15362" width="23" customWidth="1"/>
    <col min="15363" max="15363" width="12.7109375" customWidth="1"/>
    <col min="15364" max="15364" width="13.7109375" customWidth="1"/>
    <col min="15365" max="15365" width="15.42578125" customWidth="1"/>
    <col min="15366" max="15366" width="13.85546875" customWidth="1"/>
    <col min="15367" max="15367" width="15.7109375" customWidth="1"/>
    <col min="15368" max="15368" width="11" customWidth="1"/>
    <col min="15617" max="15617" width="4.28515625" customWidth="1"/>
    <col min="15618" max="15618" width="23" customWidth="1"/>
    <col min="15619" max="15619" width="12.7109375" customWidth="1"/>
    <col min="15620" max="15620" width="13.7109375" customWidth="1"/>
    <col min="15621" max="15621" width="15.42578125" customWidth="1"/>
    <col min="15622" max="15622" width="13.85546875" customWidth="1"/>
    <col min="15623" max="15623" width="15.7109375" customWidth="1"/>
    <col min="15624" max="15624" width="11" customWidth="1"/>
    <col min="15873" max="15873" width="4.28515625" customWidth="1"/>
    <col min="15874" max="15874" width="23" customWidth="1"/>
    <col min="15875" max="15875" width="12.7109375" customWidth="1"/>
    <col min="15876" max="15876" width="13.7109375" customWidth="1"/>
    <col min="15877" max="15877" width="15.42578125" customWidth="1"/>
    <col min="15878" max="15878" width="13.85546875" customWidth="1"/>
    <col min="15879" max="15879" width="15.7109375" customWidth="1"/>
    <col min="15880" max="15880" width="11" customWidth="1"/>
    <col min="16129" max="16129" width="4.28515625" customWidth="1"/>
    <col min="16130" max="16130" width="23" customWidth="1"/>
    <col min="16131" max="16131" width="12.7109375" customWidth="1"/>
    <col min="16132" max="16132" width="13.7109375" customWidth="1"/>
    <col min="16133" max="16133" width="15.42578125" customWidth="1"/>
    <col min="16134" max="16134" width="13.85546875" customWidth="1"/>
    <col min="16135" max="16135" width="15.7109375" customWidth="1"/>
    <col min="16136" max="16136" width="11" customWidth="1"/>
  </cols>
  <sheetData>
    <row r="1" spans="1:7" ht="88.5" customHeight="1">
      <c r="A1" s="551" t="s">
        <v>157</v>
      </c>
      <c r="B1" s="552" t="s">
        <v>158</v>
      </c>
      <c r="C1" s="1705" t="s">
        <v>415</v>
      </c>
      <c r="D1" s="364" t="s">
        <v>416</v>
      </c>
      <c r="E1" s="1707" t="s">
        <v>417</v>
      </c>
      <c r="F1" s="553" t="s">
        <v>418</v>
      </c>
      <c r="G1" s="1704" t="s">
        <v>419</v>
      </c>
    </row>
    <row r="2" spans="1:7">
      <c r="A2" s="554"/>
      <c r="B2" s="554"/>
      <c r="C2" s="1706"/>
      <c r="D2" s="555">
        <v>6000</v>
      </c>
      <c r="E2" s="1708"/>
      <c r="F2" s="556">
        <v>4000</v>
      </c>
      <c r="G2" s="1690"/>
    </row>
    <row r="3" spans="1:7">
      <c r="A3" s="501"/>
      <c r="B3" s="502"/>
      <c r="C3" s="503">
        <f>B3+1</f>
        <v>1</v>
      </c>
      <c r="D3" s="503">
        <f>C3+1</f>
        <v>2</v>
      </c>
      <c r="E3" s="503">
        <f>D3+1</f>
        <v>3</v>
      </c>
      <c r="F3" s="503">
        <f>E3+1</f>
        <v>4</v>
      </c>
      <c r="G3" s="503">
        <f>F3+1</f>
        <v>5</v>
      </c>
    </row>
    <row r="4" spans="1:7">
      <c r="A4" s="257">
        <v>1</v>
      </c>
      <c r="B4" s="258" t="s">
        <v>179</v>
      </c>
      <c r="C4" s="557">
        <v>0</v>
      </c>
      <c r="D4" s="508">
        <f>ROUND($D$2*C4,0)</f>
        <v>0</v>
      </c>
      <c r="E4" s="557">
        <v>0</v>
      </c>
      <c r="F4" s="508">
        <f>ROUND($F$2*E4,0)</f>
        <v>0</v>
      </c>
      <c r="G4" s="558">
        <f>D4+F4</f>
        <v>0</v>
      </c>
    </row>
    <row r="5" spans="1:7">
      <c r="A5" s="257">
        <v>2</v>
      </c>
      <c r="B5" s="258" t="s">
        <v>180</v>
      </c>
      <c r="C5" s="557">
        <v>0</v>
      </c>
      <c r="D5" s="508">
        <f t="shared" ref="D5:D68" si="0">ROUND($D$2*C5,0)</f>
        <v>0</v>
      </c>
      <c r="E5" s="557">
        <v>0</v>
      </c>
      <c r="F5" s="508">
        <f t="shared" ref="F5:F68" si="1">ROUND($F$2*E5,0)</f>
        <v>0</v>
      </c>
      <c r="G5" s="558">
        <f t="shared" ref="G5:G68" si="2">D5+F5</f>
        <v>0</v>
      </c>
    </row>
    <row r="6" spans="1:7">
      <c r="A6" s="257">
        <v>3</v>
      </c>
      <c r="B6" s="258" t="s">
        <v>181</v>
      </c>
      <c r="C6" s="557">
        <v>0</v>
      </c>
      <c r="D6" s="508">
        <f t="shared" si="0"/>
        <v>0</v>
      </c>
      <c r="E6" s="557">
        <v>0</v>
      </c>
      <c r="F6" s="508">
        <f t="shared" si="1"/>
        <v>0</v>
      </c>
      <c r="G6" s="558">
        <f t="shared" si="2"/>
        <v>0</v>
      </c>
    </row>
    <row r="7" spans="1:7">
      <c r="A7" s="257">
        <v>4</v>
      </c>
      <c r="B7" s="258" t="s">
        <v>182</v>
      </c>
      <c r="C7" s="557">
        <v>2</v>
      </c>
      <c r="D7" s="508">
        <f t="shared" si="0"/>
        <v>12000</v>
      </c>
      <c r="E7" s="557">
        <v>1</v>
      </c>
      <c r="F7" s="508">
        <f t="shared" si="1"/>
        <v>4000</v>
      </c>
      <c r="G7" s="558">
        <f t="shared" si="2"/>
        <v>16000</v>
      </c>
    </row>
    <row r="8" spans="1:7">
      <c r="A8" s="266">
        <v>5</v>
      </c>
      <c r="B8" s="267" t="s">
        <v>183</v>
      </c>
      <c r="C8" s="559">
        <v>0</v>
      </c>
      <c r="D8" s="514">
        <f t="shared" si="0"/>
        <v>0</v>
      </c>
      <c r="E8" s="559">
        <v>0</v>
      </c>
      <c r="F8" s="514">
        <f t="shared" si="1"/>
        <v>0</v>
      </c>
      <c r="G8" s="560">
        <f t="shared" si="2"/>
        <v>0</v>
      </c>
    </row>
    <row r="9" spans="1:7">
      <c r="A9" s="257">
        <v>6</v>
      </c>
      <c r="B9" s="258" t="s">
        <v>184</v>
      </c>
      <c r="C9" s="557">
        <v>0</v>
      </c>
      <c r="D9" s="508">
        <f t="shared" si="0"/>
        <v>0</v>
      </c>
      <c r="E9" s="557">
        <v>0</v>
      </c>
      <c r="F9" s="508">
        <f t="shared" si="1"/>
        <v>0</v>
      </c>
      <c r="G9" s="558">
        <f t="shared" si="2"/>
        <v>0</v>
      </c>
    </row>
    <row r="10" spans="1:7">
      <c r="A10" s="257">
        <v>7</v>
      </c>
      <c r="B10" s="258" t="s">
        <v>185</v>
      </c>
      <c r="C10" s="557">
        <v>0</v>
      </c>
      <c r="D10" s="508">
        <f t="shared" si="0"/>
        <v>0</v>
      </c>
      <c r="E10" s="557">
        <v>0</v>
      </c>
      <c r="F10" s="508">
        <f t="shared" si="1"/>
        <v>0</v>
      </c>
      <c r="G10" s="558">
        <f t="shared" si="2"/>
        <v>0</v>
      </c>
    </row>
    <row r="11" spans="1:7">
      <c r="A11" s="257">
        <v>8</v>
      </c>
      <c r="B11" s="258" t="s">
        <v>186</v>
      </c>
      <c r="C11" s="557">
        <v>1</v>
      </c>
      <c r="D11" s="508">
        <f t="shared" si="0"/>
        <v>6000</v>
      </c>
      <c r="E11" s="557">
        <v>1</v>
      </c>
      <c r="F11" s="508">
        <f t="shared" si="1"/>
        <v>4000</v>
      </c>
      <c r="G11" s="558">
        <f t="shared" si="2"/>
        <v>10000</v>
      </c>
    </row>
    <row r="12" spans="1:7">
      <c r="A12" s="257">
        <v>9</v>
      </c>
      <c r="B12" s="258" t="s">
        <v>77</v>
      </c>
      <c r="C12" s="557">
        <v>2</v>
      </c>
      <c r="D12" s="508">
        <f t="shared" si="0"/>
        <v>12000</v>
      </c>
      <c r="E12" s="557">
        <v>5</v>
      </c>
      <c r="F12" s="508">
        <f t="shared" si="1"/>
        <v>20000</v>
      </c>
      <c r="G12" s="558">
        <f t="shared" si="2"/>
        <v>32000</v>
      </c>
    </row>
    <row r="13" spans="1:7">
      <c r="A13" s="266">
        <v>10</v>
      </c>
      <c r="B13" s="267" t="s">
        <v>187</v>
      </c>
      <c r="C13" s="559">
        <v>17</v>
      </c>
      <c r="D13" s="514">
        <f t="shared" si="0"/>
        <v>102000</v>
      </c>
      <c r="E13" s="559">
        <v>4</v>
      </c>
      <c r="F13" s="514">
        <f t="shared" si="1"/>
        <v>16000</v>
      </c>
      <c r="G13" s="560">
        <f t="shared" si="2"/>
        <v>118000</v>
      </c>
    </row>
    <row r="14" spans="1:7">
      <c r="A14" s="257">
        <v>11</v>
      </c>
      <c r="B14" s="258" t="s">
        <v>188</v>
      </c>
      <c r="C14" s="557">
        <v>0</v>
      </c>
      <c r="D14" s="508">
        <f t="shared" si="0"/>
        <v>0</v>
      </c>
      <c r="E14" s="557">
        <v>0</v>
      </c>
      <c r="F14" s="508">
        <f t="shared" si="1"/>
        <v>0</v>
      </c>
      <c r="G14" s="558">
        <f t="shared" si="2"/>
        <v>0</v>
      </c>
    </row>
    <row r="15" spans="1:7">
      <c r="A15" s="257">
        <v>12</v>
      </c>
      <c r="B15" s="258" t="s">
        <v>189</v>
      </c>
      <c r="C15" s="557">
        <v>0</v>
      </c>
      <c r="D15" s="508">
        <f t="shared" si="0"/>
        <v>0</v>
      </c>
      <c r="E15" s="557">
        <v>1</v>
      </c>
      <c r="F15" s="508">
        <f t="shared" si="1"/>
        <v>4000</v>
      </c>
      <c r="G15" s="558">
        <f t="shared" si="2"/>
        <v>4000</v>
      </c>
    </row>
    <row r="16" spans="1:7">
      <c r="A16" s="257">
        <v>13</v>
      </c>
      <c r="B16" s="258" t="s">
        <v>190</v>
      </c>
      <c r="C16" s="557">
        <v>0</v>
      </c>
      <c r="D16" s="508">
        <f t="shared" si="0"/>
        <v>0</v>
      </c>
      <c r="E16" s="557">
        <v>0</v>
      </c>
      <c r="F16" s="508">
        <f t="shared" si="1"/>
        <v>0</v>
      </c>
      <c r="G16" s="558">
        <f t="shared" si="2"/>
        <v>0</v>
      </c>
    </row>
    <row r="17" spans="1:7">
      <c r="A17" s="257">
        <v>14</v>
      </c>
      <c r="B17" s="258" t="s">
        <v>191</v>
      </c>
      <c r="C17" s="557">
        <v>0</v>
      </c>
      <c r="D17" s="508">
        <f t="shared" si="0"/>
        <v>0</v>
      </c>
      <c r="E17" s="557">
        <v>0</v>
      </c>
      <c r="F17" s="508">
        <f t="shared" si="1"/>
        <v>0</v>
      </c>
      <c r="G17" s="558">
        <f t="shared" si="2"/>
        <v>0</v>
      </c>
    </row>
    <row r="18" spans="1:7">
      <c r="A18" s="266">
        <v>15</v>
      </c>
      <c r="B18" s="267" t="s">
        <v>192</v>
      </c>
      <c r="C18" s="559">
        <v>1</v>
      </c>
      <c r="D18" s="514">
        <f t="shared" si="0"/>
        <v>6000</v>
      </c>
      <c r="E18" s="559">
        <v>0</v>
      </c>
      <c r="F18" s="514">
        <f t="shared" si="1"/>
        <v>0</v>
      </c>
      <c r="G18" s="560">
        <f t="shared" si="2"/>
        <v>6000</v>
      </c>
    </row>
    <row r="19" spans="1:7">
      <c r="A19" s="257">
        <v>16</v>
      </c>
      <c r="B19" s="258" t="s">
        <v>193</v>
      </c>
      <c r="C19" s="557">
        <v>1</v>
      </c>
      <c r="D19" s="508">
        <f t="shared" si="0"/>
        <v>6000</v>
      </c>
      <c r="E19" s="557">
        <v>0</v>
      </c>
      <c r="F19" s="508">
        <f t="shared" si="1"/>
        <v>0</v>
      </c>
      <c r="G19" s="558">
        <f t="shared" si="2"/>
        <v>6000</v>
      </c>
    </row>
    <row r="20" spans="1:7">
      <c r="A20" s="257">
        <v>17</v>
      </c>
      <c r="B20" s="258" t="s">
        <v>75</v>
      </c>
      <c r="C20" s="557">
        <v>2</v>
      </c>
      <c r="D20" s="508">
        <f t="shared" si="0"/>
        <v>12000</v>
      </c>
      <c r="E20" s="557">
        <v>7</v>
      </c>
      <c r="F20" s="508">
        <f t="shared" si="1"/>
        <v>28000</v>
      </c>
      <c r="G20" s="558">
        <f t="shared" si="2"/>
        <v>40000</v>
      </c>
    </row>
    <row r="21" spans="1:7">
      <c r="A21" s="257">
        <v>18</v>
      </c>
      <c r="B21" s="258" t="s">
        <v>194</v>
      </c>
      <c r="C21" s="557">
        <v>2</v>
      </c>
      <c r="D21" s="508">
        <f t="shared" si="0"/>
        <v>12000</v>
      </c>
      <c r="E21" s="557">
        <v>0</v>
      </c>
      <c r="F21" s="508">
        <f t="shared" si="1"/>
        <v>0</v>
      </c>
      <c r="G21" s="558">
        <f t="shared" si="2"/>
        <v>12000</v>
      </c>
    </row>
    <row r="22" spans="1:7">
      <c r="A22" s="257">
        <v>19</v>
      </c>
      <c r="B22" s="258" t="s">
        <v>195</v>
      </c>
      <c r="C22" s="557">
        <v>0</v>
      </c>
      <c r="D22" s="508">
        <f t="shared" si="0"/>
        <v>0</v>
      </c>
      <c r="E22" s="557">
        <v>0</v>
      </c>
      <c r="F22" s="508">
        <f t="shared" si="1"/>
        <v>0</v>
      </c>
      <c r="G22" s="558">
        <f t="shared" si="2"/>
        <v>0</v>
      </c>
    </row>
    <row r="23" spans="1:7">
      <c r="A23" s="266">
        <v>20</v>
      </c>
      <c r="B23" s="267" t="s">
        <v>196</v>
      </c>
      <c r="C23" s="559">
        <v>0</v>
      </c>
      <c r="D23" s="514">
        <f t="shared" si="0"/>
        <v>0</v>
      </c>
      <c r="E23" s="559">
        <v>0</v>
      </c>
      <c r="F23" s="514">
        <f t="shared" si="1"/>
        <v>0</v>
      </c>
      <c r="G23" s="560">
        <f t="shared" si="2"/>
        <v>0</v>
      </c>
    </row>
    <row r="24" spans="1:7">
      <c r="A24" s="257">
        <v>21</v>
      </c>
      <c r="B24" s="258" t="s">
        <v>197</v>
      </c>
      <c r="C24" s="557">
        <v>0</v>
      </c>
      <c r="D24" s="508">
        <f t="shared" si="0"/>
        <v>0</v>
      </c>
      <c r="E24" s="557">
        <v>0</v>
      </c>
      <c r="F24" s="508">
        <f t="shared" si="1"/>
        <v>0</v>
      </c>
      <c r="G24" s="558">
        <f t="shared" si="2"/>
        <v>0</v>
      </c>
    </row>
    <row r="25" spans="1:7">
      <c r="A25" s="257">
        <v>22</v>
      </c>
      <c r="B25" s="258" t="s">
        <v>198</v>
      </c>
      <c r="C25" s="557">
        <v>0</v>
      </c>
      <c r="D25" s="508">
        <f t="shared" si="0"/>
        <v>0</v>
      </c>
      <c r="E25" s="557">
        <v>0</v>
      </c>
      <c r="F25" s="508">
        <f t="shared" si="1"/>
        <v>0</v>
      </c>
      <c r="G25" s="558">
        <f t="shared" si="2"/>
        <v>0</v>
      </c>
    </row>
    <row r="26" spans="1:7">
      <c r="A26" s="257">
        <v>23</v>
      </c>
      <c r="B26" s="258" t="s">
        <v>199</v>
      </c>
      <c r="C26" s="557">
        <v>3</v>
      </c>
      <c r="D26" s="508">
        <f t="shared" si="0"/>
        <v>18000</v>
      </c>
      <c r="E26" s="557">
        <v>4</v>
      </c>
      <c r="F26" s="508">
        <f t="shared" si="1"/>
        <v>16000</v>
      </c>
      <c r="G26" s="558">
        <f t="shared" si="2"/>
        <v>34000</v>
      </c>
    </row>
    <row r="27" spans="1:7">
      <c r="A27" s="257">
        <v>24</v>
      </c>
      <c r="B27" s="258" t="s">
        <v>200</v>
      </c>
      <c r="C27" s="557">
        <v>0</v>
      </c>
      <c r="D27" s="508">
        <f t="shared" si="0"/>
        <v>0</v>
      </c>
      <c r="E27" s="557">
        <v>0</v>
      </c>
      <c r="F27" s="508">
        <f t="shared" si="1"/>
        <v>0</v>
      </c>
      <c r="G27" s="558">
        <f t="shared" si="2"/>
        <v>0</v>
      </c>
    </row>
    <row r="28" spans="1:7">
      <c r="A28" s="266">
        <v>25</v>
      </c>
      <c r="B28" s="267" t="s">
        <v>201</v>
      </c>
      <c r="C28" s="559">
        <v>0</v>
      </c>
      <c r="D28" s="514">
        <f t="shared" si="0"/>
        <v>0</v>
      </c>
      <c r="E28" s="559">
        <v>0</v>
      </c>
      <c r="F28" s="514">
        <f t="shared" si="1"/>
        <v>0</v>
      </c>
      <c r="G28" s="560">
        <f t="shared" si="2"/>
        <v>0</v>
      </c>
    </row>
    <row r="29" spans="1:7">
      <c r="A29" s="257">
        <v>26</v>
      </c>
      <c r="B29" s="258" t="s">
        <v>202</v>
      </c>
      <c r="C29" s="557">
        <v>5</v>
      </c>
      <c r="D29" s="508">
        <f t="shared" si="0"/>
        <v>30000</v>
      </c>
      <c r="E29" s="557">
        <v>9</v>
      </c>
      <c r="F29" s="508">
        <f t="shared" si="1"/>
        <v>36000</v>
      </c>
      <c r="G29" s="558">
        <f t="shared" si="2"/>
        <v>66000</v>
      </c>
    </row>
    <row r="30" spans="1:7">
      <c r="A30" s="257">
        <v>27</v>
      </c>
      <c r="B30" s="258" t="s">
        <v>203</v>
      </c>
      <c r="C30" s="557">
        <v>0</v>
      </c>
      <c r="D30" s="508">
        <f t="shared" si="0"/>
        <v>0</v>
      </c>
      <c r="E30" s="557">
        <v>0</v>
      </c>
      <c r="F30" s="508">
        <f t="shared" si="1"/>
        <v>0</v>
      </c>
      <c r="G30" s="558">
        <f t="shared" si="2"/>
        <v>0</v>
      </c>
    </row>
    <row r="31" spans="1:7">
      <c r="A31" s="257">
        <v>28</v>
      </c>
      <c r="B31" s="258" t="s">
        <v>204</v>
      </c>
      <c r="C31" s="557">
        <v>5</v>
      </c>
      <c r="D31" s="508">
        <f t="shared" si="0"/>
        <v>30000</v>
      </c>
      <c r="E31" s="557">
        <v>12</v>
      </c>
      <c r="F31" s="508">
        <f t="shared" si="1"/>
        <v>48000</v>
      </c>
      <c r="G31" s="558">
        <f t="shared" si="2"/>
        <v>78000</v>
      </c>
    </row>
    <row r="32" spans="1:7">
      <c r="A32" s="257">
        <v>29</v>
      </c>
      <c r="B32" s="258" t="s">
        <v>205</v>
      </c>
      <c r="C32" s="557">
        <v>0</v>
      </c>
      <c r="D32" s="508">
        <f t="shared" si="0"/>
        <v>0</v>
      </c>
      <c r="E32" s="557">
        <v>4</v>
      </c>
      <c r="F32" s="508">
        <f t="shared" si="1"/>
        <v>16000</v>
      </c>
      <c r="G32" s="558">
        <f t="shared" si="2"/>
        <v>16000</v>
      </c>
    </row>
    <row r="33" spans="1:7">
      <c r="A33" s="266">
        <v>30</v>
      </c>
      <c r="B33" s="267" t="s">
        <v>206</v>
      </c>
      <c r="C33" s="559">
        <v>0</v>
      </c>
      <c r="D33" s="514">
        <f t="shared" si="0"/>
        <v>0</v>
      </c>
      <c r="E33" s="559">
        <v>0</v>
      </c>
      <c r="F33" s="514">
        <f t="shared" si="1"/>
        <v>0</v>
      </c>
      <c r="G33" s="560">
        <f t="shared" si="2"/>
        <v>0</v>
      </c>
    </row>
    <row r="34" spans="1:7">
      <c r="A34" s="257">
        <v>31</v>
      </c>
      <c r="B34" s="258" t="s">
        <v>207</v>
      </c>
      <c r="C34" s="557">
        <v>0</v>
      </c>
      <c r="D34" s="508">
        <f t="shared" si="0"/>
        <v>0</v>
      </c>
      <c r="E34" s="557">
        <v>0</v>
      </c>
      <c r="F34" s="508">
        <f t="shared" si="1"/>
        <v>0</v>
      </c>
      <c r="G34" s="558">
        <f t="shared" si="2"/>
        <v>0</v>
      </c>
    </row>
    <row r="35" spans="1:7">
      <c r="A35" s="257">
        <v>32</v>
      </c>
      <c r="B35" s="258" t="s">
        <v>208</v>
      </c>
      <c r="C35" s="557">
        <v>0</v>
      </c>
      <c r="D35" s="508">
        <f t="shared" si="0"/>
        <v>0</v>
      </c>
      <c r="E35" s="557">
        <v>0</v>
      </c>
      <c r="F35" s="508">
        <f t="shared" si="1"/>
        <v>0</v>
      </c>
      <c r="G35" s="558">
        <f t="shared" si="2"/>
        <v>0</v>
      </c>
    </row>
    <row r="36" spans="1:7">
      <c r="A36" s="257">
        <v>33</v>
      </c>
      <c r="B36" s="258" t="s">
        <v>209</v>
      </c>
      <c r="C36" s="557">
        <v>1</v>
      </c>
      <c r="D36" s="508">
        <f t="shared" si="0"/>
        <v>6000</v>
      </c>
      <c r="E36" s="557">
        <v>0</v>
      </c>
      <c r="F36" s="508">
        <f t="shared" si="1"/>
        <v>0</v>
      </c>
      <c r="G36" s="558">
        <f t="shared" si="2"/>
        <v>6000</v>
      </c>
    </row>
    <row r="37" spans="1:7">
      <c r="A37" s="257">
        <v>34</v>
      </c>
      <c r="B37" s="258" t="s">
        <v>210</v>
      </c>
      <c r="C37" s="557">
        <v>0</v>
      </c>
      <c r="D37" s="508">
        <f t="shared" si="0"/>
        <v>0</v>
      </c>
      <c r="E37" s="557">
        <v>0</v>
      </c>
      <c r="F37" s="508">
        <f t="shared" si="1"/>
        <v>0</v>
      </c>
      <c r="G37" s="558">
        <f t="shared" si="2"/>
        <v>0</v>
      </c>
    </row>
    <row r="38" spans="1:7">
      <c r="A38" s="266">
        <v>35</v>
      </c>
      <c r="B38" s="267" t="s">
        <v>211</v>
      </c>
      <c r="C38" s="559">
        <v>0</v>
      </c>
      <c r="D38" s="514">
        <f t="shared" si="0"/>
        <v>0</v>
      </c>
      <c r="E38" s="559">
        <v>0</v>
      </c>
      <c r="F38" s="514">
        <f t="shared" si="1"/>
        <v>0</v>
      </c>
      <c r="G38" s="560">
        <f t="shared" si="2"/>
        <v>0</v>
      </c>
    </row>
    <row r="39" spans="1:7">
      <c r="A39" s="257">
        <v>36</v>
      </c>
      <c r="B39" s="258" t="s">
        <v>74</v>
      </c>
      <c r="C39" s="557">
        <v>6</v>
      </c>
      <c r="D39" s="508">
        <f t="shared" si="0"/>
        <v>36000</v>
      </c>
      <c r="E39" s="557">
        <v>11</v>
      </c>
      <c r="F39" s="508">
        <f t="shared" si="1"/>
        <v>44000</v>
      </c>
      <c r="G39" s="558">
        <f t="shared" si="2"/>
        <v>80000</v>
      </c>
    </row>
    <row r="40" spans="1:7">
      <c r="A40" s="257">
        <v>37</v>
      </c>
      <c r="B40" s="258" t="s">
        <v>213</v>
      </c>
      <c r="C40" s="557">
        <v>0</v>
      </c>
      <c r="D40" s="508">
        <f t="shared" si="0"/>
        <v>0</v>
      </c>
      <c r="E40" s="557">
        <v>0</v>
      </c>
      <c r="F40" s="508">
        <f t="shared" si="1"/>
        <v>0</v>
      </c>
      <c r="G40" s="558">
        <f t="shared" si="2"/>
        <v>0</v>
      </c>
    </row>
    <row r="41" spans="1:7">
      <c r="A41" s="257">
        <v>38</v>
      </c>
      <c r="B41" s="258" t="s">
        <v>214</v>
      </c>
      <c r="C41" s="557">
        <v>0</v>
      </c>
      <c r="D41" s="508">
        <f t="shared" si="0"/>
        <v>0</v>
      </c>
      <c r="E41" s="557">
        <v>1</v>
      </c>
      <c r="F41" s="508">
        <f t="shared" si="1"/>
        <v>4000</v>
      </c>
      <c r="G41" s="558">
        <f t="shared" si="2"/>
        <v>4000</v>
      </c>
    </row>
    <row r="42" spans="1:7">
      <c r="A42" s="257">
        <v>39</v>
      </c>
      <c r="B42" s="258" t="s">
        <v>76</v>
      </c>
      <c r="C42" s="557">
        <v>0</v>
      </c>
      <c r="D42" s="508">
        <f t="shared" si="0"/>
        <v>0</v>
      </c>
      <c r="E42" s="557">
        <v>0</v>
      </c>
      <c r="F42" s="508">
        <f t="shared" si="1"/>
        <v>0</v>
      </c>
      <c r="G42" s="558">
        <f t="shared" si="2"/>
        <v>0</v>
      </c>
    </row>
    <row r="43" spans="1:7">
      <c r="A43" s="266">
        <v>40</v>
      </c>
      <c r="B43" s="267" t="s">
        <v>215</v>
      </c>
      <c r="C43" s="559">
        <v>0</v>
      </c>
      <c r="D43" s="514">
        <f t="shared" si="0"/>
        <v>0</v>
      </c>
      <c r="E43" s="559">
        <v>0</v>
      </c>
      <c r="F43" s="514">
        <f t="shared" si="1"/>
        <v>0</v>
      </c>
      <c r="G43" s="560">
        <f t="shared" si="2"/>
        <v>0</v>
      </c>
    </row>
    <row r="44" spans="1:7">
      <c r="A44" s="257">
        <v>41</v>
      </c>
      <c r="B44" s="258" t="s">
        <v>216</v>
      </c>
      <c r="C44" s="557">
        <v>0</v>
      </c>
      <c r="D44" s="508">
        <f t="shared" si="0"/>
        <v>0</v>
      </c>
      <c r="E44" s="557">
        <v>0</v>
      </c>
      <c r="F44" s="508">
        <f t="shared" si="1"/>
        <v>0</v>
      </c>
      <c r="G44" s="558">
        <f t="shared" si="2"/>
        <v>0</v>
      </c>
    </row>
    <row r="45" spans="1:7">
      <c r="A45" s="257">
        <v>42</v>
      </c>
      <c r="B45" s="258" t="s">
        <v>217</v>
      </c>
      <c r="C45" s="557">
        <v>0</v>
      </c>
      <c r="D45" s="508">
        <f t="shared" si="0"/>
        <v>0</v>
      </c>
      <c r="E45" s="557">
        <v>0</v>
      </c>
      <c r="F45" s="508">
        <f t="shared" si="1"/>
        <v>0</v>
      </c>
      <c r="G45" s="558">
        <f t="shared" si="2"/>
        <v>0</v>
      </c>
    </row>
    <row r="46" spans="1:7">
      <c r="A46" s="257">
        <v>43</v>
      </c>
      <c r="B46" s="258" t="s">
        <v>218</v>
      </c>
      <c r="C46" s="557">
        <v>0</v>
      </c>
      <c r="D46" s="508">
        <f t="shared" si="0"/>
        <v>0</v>
      </c>
      <c r="E46" s="557">
        <v>0</v>
      </c>
      <c r="F46" s="508">
        <f t="shared" si="1"/>
        <v>0</v>
      </c>
      <c r="G46" s="558">
        <f t="shared" si="2"/>
        <v>0</v>
      </c>
    </row>
    <row r="47" spans="1:7">
      <c r="A47" s="257">
        <v>44</v>
      </c>
      <c r="B47" s="258" t="s">
        <v>219</v>
      </c>
      <c r="C47" s="557">
        <v>0</v>
      </c>
      <c r="D47" s="508">
        <f t="shared" si="0"/>
        <v>0</v>
      </c>
      <c r="E47" s="557">
        <v>0</v>
      </c>
      <c r="F47" s="508">
        <f t="shared" si="1"/>
        <v>0</v>
      </c>
      <c r="G47" s="558">
        <f t="shared" si="2"/>
        <v>0</v>
      </c>
    </row>
    <row r="48" spans="1:7">
      <c r="A48" s="266">
        <v>45</v>
      </c>
      <c r="B48" s="267" t="s">
        <v>220</v>
      </c>
      <c r="C48" s="559">
        <v>0</v>
      </c>
      <c r="D48" s="514">
        <f t="shared" si="0"/>
        <v>0</v>
      </c>
      <c r="E48" s="559">
        <v>0</v>
      </c>
      <c r="F48" s="514">
        <f t="shared" si="1"/>
        <v>0</v>
      </c>
      <c r="G48" s="560">
        <f t="shared" si="2"/>
        <v>0</v>
      </c>
    </row>
    <row r="49" spans="1:7">
      <c r="A49" s="257">
        <v>46</v>
      </c>
      <c r="B49" s="258" t="s">
        <v>78</v>
      </c>
      <c r="C49" s="557">
        <v>0</v>
      </c>
      <c r="D49" s="508">
        <f t="shared" si="0"/>
        <v>0</v>
      </c>
      <c r="E49" s="557">
        <v>0</v>
      </c>
      <c r="F49" s="508">
        <f t="shared" si="1"/>
        <v>0</v>
      </c>
      <c r="G49" s="558">
        <f t="shared" si="2"/>
        <v>0</v>
      </c>
    </row>
    <row r="50" spans="1:7">
      <c r="A50" s="257">
        <v>47</v>
      </c>
      <c r="B50" s="258" t="s">
        <v>221</v>
      </c>
      <c r="C50" s="557">
        <v>0</v>
      </c>
      <c r="D50" s="508">
        <f t="shared" si="0"/>
        <v>0</v>
      </c>
      <c r="E50" s="557">
        <v>0</v>
      </c>
      <c r="F50" s="508">
        <f t="shared" si="1"/>
        <v>0</v>
      </c>
      <c r="G50" s="558">
        <f t="shared" si="2"/>
        <v>0</v>
      </c>
    </row>
    <row r="51" spans="1:7">
      <c r="A51" s="257">
        <v>48</v>
      </c>
      <c r="B51" s="258" t="s">
        <v>222</v>
      </c>
      <c r="C51" s="557">
        <v>0</v>
      </c>
      <c r="D51" s="508">
        <f t="shared" si="0"/>
        <v>0</v>
      </c>
      <c r="E51" s="557">
        <v>0</v>
      </c>
      <c r="F51" s="508">
        <f t="shared" si="1"/>
        <v>0</v>
      </c>
      <c r="G51" s="558">
        <f t="shared" si="2"/>
        <v>0</v>
      </c>
    </row>
    <row r="52" spans="1:7">
      <c r="A52" s="257">
        <v>49</v>
      </c>
      <c r="B52" s="258" t="s">
        <v>223</v>
      </c>
      <c r="C52" s="557">
        <v>0</v>
      </c>
      <c r="D52" s="508">
        <f t="shared" si="0"/>
        <v>0</v>
      </c>
      <c r="E52" s="557">
        <v>0</v>
      </c>
      <c r="F52" s="508">
        <f t="shared" si="1"/>
        <v>0</v>
      </c>
      <c r="G52" s="558">
        <f t="shared" si="2"/>
        <v>0</v>
      </c>
    </row>
    <row r="53" spans="1:7">
      <c r="A53" s="266">
        <v>50</v>
      </c>
      <c r="B53" s="267" t="s">
        <v>224</v>
      </c>
      <c r="C53" s="559">
        <v>2</v>
      </c>
      <c r="D53" s="514">
        <f t="shared" si="0"/>
        <v>12000</v>
      </c>
      <c r="E53" s="559">
        <v>4</v>
      </c>
      <c r="F53" s="514">
        <f t="shared" si="1"/>
        <v>16000</v>
      </c>
      <c r="G53" s="560">
        <f t="shared" si="2"/>
        <v>28000</v>
      </c>
    </row>
    <row r="54" spans="1:7">
      <c r="A54" s="257">
        <v>51</v>
      </c>
      <c r="B54" s="258" t="s">
        <v>225</v>
      </c>
      <c r="C54" s="557">
        <v>0</v>
      </c>
      <c r="D54" s="508">
        <f t="shared" si="0"/>
        <v>0</v>
      </c>
      <c r="E54" s="557">
        <v>0</v>
      </c>
      <c r="F54" s="508">
        <f t="shared" si="1"/>
        <v>0</v>
      </c>
      <c r="G54" s="558">
        <f t="shared" si="2"/>
        <v>0</v>
      </c>
    </row>
    <row r="55" spans="1:7">
      <c r="A55" s="257">
        <v>52</v>
      </c>
      <c r="B55" s="258" t="s">
        <v>226</v>
      </c>
      <c r="C55" s="557">
        <v>0</v>
      </c>
      <c r="D55" s="508">
        <f t="shared" si="0"/>
        <v>0</v>
      </c>
      <c r="E55" s="557">
        <v>0</v>
      </c>
      <c r="F55" s="508">
        <f t="shared" si="1"/>
        <v>0</v>
      </c>
      <c r="G55" s="558">
        <f t="shared" si="2"/>
        <v>0</v>
      </c>
    </row>
    <row r="56" spans="1:7">
      <c r="A56" s="257">
        <v>53</v>
      </c>
      <c r="B56" s="258" t="s">
        <v>227</v>
      </c>
      <c r="C56" s="557">
        <v>3</v>
      </c>
      <c r="D56" s="508">
        <f t="shared" si="0"/>
        <v>18000</v>
      </c>
      <c r="E56" s="557">
        <v>1</v>
      </c>
      <c r="F56" s="508">
        <f t="shared" si="1"/>
        <v>4000</v>
      </c>
      <c r="G56" s="558">
        <f t="shared" si="2"/>
        <v>22000</v>
      </c>
    </row>
    <row r="57" spans="1:7">
      <c r="A57" s="257">
        <v>54</v>
      </c>
      <c r="B57" s="258" t="s">
        <v>228</v>
      </c>
      <c r="C57" s="557">
        <v>0</v>
      </c>
      <c r="D57" s="508">
        <f t="shared" si="0"/>
        <v>0</v>
      </c>
      <c r="E57" s="557">
        <v>0</v>
      </c>
      <c r="F57" s="508">
        <f t="shared" si="1"/>
        <v>0</v>
      </c>
      <c r="G57" s="558">
        <f t="shared" si="2"/>
        <v>0</v>
      </c>
    </row>
    <row r="58" spans="1:7">
      <c r="A58" s="266">
        <v>55</v>
      </c>
      <c r="B58" s="267" t="s">
        <v>229</v>
      </c>
      <c r="C58" s="559">
        <v>0</v>
      </c>
      <c r="D58" s="514">
        <f t="shared" si="0"/>
        <v>0</v>
      </c>
      <c r="E58" s="559">
        <v>0</v>
      </c>
      <c r="F58" s="514">
        <f t="shared" si="1"/>
        <v>0</v>
      </c>
      <c r="G58" s="560">
        <f t="shared" si="2"/>
        <v>0</v>
      </c>
    </row>
    <row r="59" spans="1:7">
      <c r="A59" s="257">
        <v>56</v>
      </c>
      <c r="B59" s="258" t="s">
        <v>230</v>
      </c>
      <c r="C59" s="557">
        <v>1</v>
      </c>
      <c r="D59" s="508">
        <f t="shared" si="0"/>
        <v>6000</v>
      </c>
      <c r="E59" s="557">
        <v>0</v>
      </c>
      <c r="F59" s="508">
        <f t="shared" si="1"/>
        <v>0</v>
      </c>
      <c r="G59" s="558">
        <f t="shared" si="2"/>
        <v>6000</v>
      </c>
    </row>
    <row r="60" spans="1:7">
      <c r="A60" s="257">
        <v>57</v>
      </c>
      <c r="B60" s="258" t="s">
        <v>231</v>
      </c>
      <c r="C60" s="557">
        <v>0</v>
      </c>
      <c r="D60" s="508">
        <f t="shared" si="0"/>
        <v>0</v>
      </c>
      <c r="E60" s="557">
        <v>0</v>
      </c>
      <c r="F60" s="508">
        <f t="shared" si="1"/>
        <v>0</v>
      </c>
      <c r="G60" s="558">
        <f t="shared" si="2"/>
        <v>0</v>
      </c>
    </row>
    <row r="61" spans="1:7">
      <c r="A61" s="257">
        <v>58</v>
      </c>
      <c r="B61" s="258" t="s">
        <v>232</v>
      </c>
      <c r="C61" s="557">
        <v>0</v>
      </c>
      <c r="D61" s="508">
        <f t="shared" si="0"/>
        <v>0</v>
      </c>
      <c r="E61" s="557">
        <v>0</v>
      </c>
      <c r="F61" s="508">
        <f t="shared" si="1"/>
        <v>0</v>
      </c>
      <c r="G61" s="558">
        <f t="shared" si="2"/>
        <v>0</v>
      </c>
    </row>
    <row r="62" spans="1:7">
      <c r="A62" s="257">
        <v>59</v>
      </c>
      <c r="B62" s="258" t="s">
        <v>233</v>
      </c>
      <c r="C62" s="557">
        <v>0</v>
      </c>
      <c r="D62" s="508">
        <f t="shared" si="0"/>
        <v>0</v>
      </c>
      <c r="E62" s="557">
        <v>0</v>
      </c>
      <c r="F62" s="508">
        <f t="shared" si="1"/>
        <v>0</v>
      </c>
      <c r="G62" s="558">
        <f t="shared" si="2"/>
        <v>0</v>
      </c>
    </row>
    <row r="63" spans="1:7">
      <c r="A63" s="266">
        <v>60</v>
      </c>
      <c r="B63" s="267" t="s">
        <v>234</v>
      </c>
      <c r="C63" s="559">
        <v>0</v>
      </c>
      <c r="D63" s="514">
        <f t="shared" si="0"/>
        <v>0</v>
      </c>
      <c r="E63" s="559">
        <v>0</v>
      </c>
      <c r="F63" s="514">
        <f t="shared" si="1"/>
        <v>0</v>
      </c>
      <c r="G63" s="560">
        <f t="shared" si="2"/>
        <v>0</v>
      </c>
    </row>
    <row r="64" spans="1:7">
      <c r="A64" s="257">
        <v>61</v>
      </c>
      <c r="B64" s="258" t="s">
        <v>235</v>
      </c>
      <c r="C64" s="557">
        <v>0</v>
      </c>
      <c r="D64" s="508">
        <f t="shared" si="0"/>
        <v>0</v>
      </c>
      <c r="E64" s="557">
        <v>0</v>
      </c>
      <c r="F64" s="508">
        <f t="shared" si="1"/>
        <v>0</v>
      </c>
      <c r="G64" s="558">
        <f t="shared" si="2"/>
        <v>0</v>
      </c>
    </row>
    <row r="65" spans="1:7">
      <c r="A65" s="257">
        <v>62</v>
      </c>
      <c r="B65" s="258" t="s">
        <v>236</v>
      </c>
      <c r="C65" s="557">
        <v>0</v>
      </c>
      <c r="D65" s="508">
        <f t="shared" si="0"/>
        <v>0</v>
      </c>
      <c r="E65" s="557">
        <v>0</v>
      </c>
      <c r="F65" s="508">
        <f t="shared" si="1"/>
        <v>0</v>
      </c>
      <c r="G65" s="558">
        <f t="shared" si="2"/>
        <v>0</v>
      </c>
    </row>
    <row r="66" spans="1:7">
      <c r="A66" s="257">
        <v>63</v>
      </c>
      <c r="B66" s="258" t="s">
        <v>237</v>
      </c>
      <c r="C66" s="557">
        <v>0</v>
      </c>
      <c r="D66" s="508">
        <f t="shared" si="0"/>
        <v>0</v>
      </c>
      <c r="E66" s="557">
        <v>0</v>
      </c>
      <c r="F66" s="508">
        <f t="shared" si="1"/>
        <v>0</v>
      </c>
      <c r="G66" s="558">
        <f t="shared" si="2"/>
        <v>0</v>
      </c>
    </row>
    <row r="67" spans="1:7">
      <c r="A67" s="257">
        <v>64</v>
      </c>
      <c r="B67" s="258" t="s">
        <v>238</v>
      </c>
      <c r="C67" s="557">
        <v>0</v>
      </c>
      <c r="D67" s="508">
        <f t="shared" si="0"/>
        <v>0</v>
      </c>
      <c r="E67" s="557">
        <v>0</v>
      </c>
      <c r="F67" s="508">
        <f t="shared" si="1"/>
        <v>0</v>
      </c>
      <c r="G67" s="558">
        <f t="shared" si="2"/>
        <v>0</v>
      </c>
    </row>
    <row r="68" spans="1:7">
      <c r="A68" s="266">
        <v>65</v>
      </c>
      <c r="B68" s="267" t="s">
        <v>239</v>
      </c>
      <c r="C68" s="561">
        <v>0</v>
      </c>
      <c r="D68" s="514">
        <f t="shared" si="0"/>
        <v>0</v>
      </c>
      <c r="E68" s="561">
        <v>0</v>
      </c>
      <c r="F68" s="514">
        <f t="shared" si="1"/>
        <v>0</v>
      </c>
      <c r="G68" s="560">
        <f t="shared" si="2"/>
        <v>0</v>
      </c>
    </row>
    <row r="69" spans="1:7">
      <c r="A69" s="279">
        <v>66</v>
      </c>
      <c r="B69" s="280" t="s">
        <v>240</v>
      </c>
      <c r="C69" s="562">
        <v>0</v>
      </c>
      <c r="D69" s="510">
        <f>ROUND($D$2*C69,0)</f>
        <v>0</v>
      </c>
      <c r="E69" s="562">
        <v>0</v>
      </c>
      <c r="F69" s="510">
        <f>ROUND($F$2*E69,0)</f>
        <v>0</v>
      </c>
      <c r="G69" s="563">
        <f>D69+F69</f>
        <v>0</v>
      </c>
    </row>
    <row r="70" spans="1:7">
      <c r="A70" s="287">
        <v>67</v>
      </c>
      <c r="B70" s="288" t="s">
        <v>241</v>
      </c>
      <c r="C70" s="557">
        <v>0</v>
      </c>
      <c r="D70" s="508">
        <f>ROUND($D$2*C70,0)</f>
        <v>0</v>
      </c>
      <c r="E70" s="557">
        <v>0</v>
      </c>
      <c r="F70" s="508">
        <f>ROUND($F$2*E70,0)</f>
        <v>0</v>
      </c>
      <c r="G70" s="558">
        <f>D70+F70</f>
        <v>0</v>
      </c>
    </row>
    <row r="71" spans="1:7">
      <c r="A71" s="257">
        <v>68</v>
      </c>
      <c r="B71" s="258" t="s">
        <v>242</v>
      </c>
      <c r="C71" s="557">
        <v>0</v>
      </c>
      <c r="D71" s="508">
        <f>ROUND($D$2*C71,0)</f>
        <v>0</v>
      </c>
      <c r="E71" s="557">
        <v>0</v>
      </c>
      <c r="F71" s="508">
        <f>ROUND($F$2*E71,0)</f>
        <v>0</v>
      </c>
      <c r="G71" s="558">
        <f>D71+F71</f>
        <v>0</v>
      </c>
    </row>
    <row r="72" spans="1:7">
      <c r="A72" s="266">
        <v>69</v>
      </c>
      <c r="B72" s="267" t="s">
        <v>243</v>
      </c>
      <c r="C72" s="561">
        <v>0</v>
      </c>
      <c r="D72" s="514">
        <f>ROUND($D$2*C72,0)</f>
        <v>0</v>
      </c>
      <c r="E72" s="561">
        <v>0</v>
      </c>
      <c r="F72" s="514">
        <f>ROUND($F$2*E72,0)</f>
        <v>0</v>
      </c>
      <c r="G72" s="560">
        <f>D72+F72</f>
        <v>0</v>
      </c>
    </row>
    <row r="73" spans="1:7" ht="13.5" thickBot="1">
      <c r="A73" s="289"/>
      <c r="B73" s="290" t="s">
        <v>420</v>
      </c>
      <c r="C73" s="564">
        <f>SUM(C4:C72)</f>
        <v>54</v>
      </c>
      <c r="D73" s="529">
        <f>SUM(D4:D72)</f>
        <v>324000</v>
      </c>
      <c r="E73" s="564">
        <f>SUM(E4:E72)</f>
        <v>65</v>
      </c>
      <c r="F73" s="529">
        <f>SUM(F4:F72)</f>
        <v>260000</v>
      </c>
      <c r="G73" s="565">
        <f>SUM(G4:G72)</f>
        <v>584000</v>
      </c>
    </row>
    <row r="74" spans="1:7" ht="13.5" thickTop="1">
      <c r="A74" s="566"/>
      <c r="B74" s="567" t="s">
        <v>421</v>
      </c>
      <c r="C74" s="568">
        <v>6</v>
      </c>
      <c r="D74" s="569">
        <f>ROUND($D$2*C74,0)</f>
        <v>36000</v>
      </c>
      <c r="E74" s="570">
        <v>5</v>
      </c>
      <c r="F74" s="569">
        <f>ROUND($F$2*E74,0)</f>
        <v>20000</v>
      </c>
      <c r="G74" s="571">
        <f>D74+F74</f>
        <v>56000</v>
      </c>
    </row>
    <row r="75" spans="1:7">
      <c r="A75" s="572"/>
      <c r="B75" s="573" t="s">
        <v>422</v>
      </c>
      <c r="C75" s="559">
        <v>5</v>
      </c>
      <c r="D75" s="574">
        <f>ROUND($D$2*C75,0)</f>
        <v>30000</v>
      </c>
      <c r="E75" s="559">
        <v>0</v>
      </c>
      <c r="F75" s="574">
        <f>ROUND($F$2*E75,0)</f>
        <v>0</v>
      </c>
      <c r="G75" s="575">
        <f>D75+F75</f>
        <v>30000</v>
      </c>
    </row>
    <row r="76" spans="1:7" ht="13.5" thickBot="1">
      <c r="A76" s="576"/>
      <c r="B76" s="577" t="s">
        <v>423</v>
      </c>
      <c r="C76" s="578">
        <f>SUM(C74+C75)</f>
        <v>11</v>
      </c>
      <c r="D76" s="579">
        <f>SUM(D74:D75)</f>
        <v>66000</v>
      </c>
      <c r="E76" s="578">
        <f>SUM(E74+E75)</f>
        <v>5</v>
      </c>
      <c r="F76" s="579">
        <f>SUM(F74:F75)</f>
        <v>20000</v>
      </c>
      <c r="G76" s="580">
        <f>D76+F76</f>
        <v>86000</v>
      </c>
    </row>
    <row r="77" spans="1:7" s="4" customFormat="1" ht="14.25" thickTop="1" thickBot="1">
      <c r="A77" s="581"/>
      <c r="B77" s="577" t="s">
        <v>424</v>
      </c>
      <c r="C77" s="578">
        <f>SUM(C73+C76)</f>
        <v>65</v>
      </c>
      <c r="D77" s="582">
        <f>SUM($D$73+D76)</f>
        <v>390000</v>
      </c>
      <c r="E77" s="578">
        <f>SUM(E73+E76)</f>
        <v>70</v>
      </c>
      <c r="F77" s="583">
        <f>SUM(F73+F76)</f>
        <v>280000</v>
      </c>
      <c r="G77" s="584">
        <f>D77+F77</f>
        <v>670000</v>
      </c>
    </row>
    <row r="78" spans="1:7" s="4" customFormat="1" ht="13.5" thickTop="1">
      <c r="A78" s="545"/>
      <c r="B78" s="546"/>
      <c r="C78" s="480"/>
      <c r="D78" s="480"/>
    </row>
    <row r="79" spans="1:7" s="4" customFormat="1">
      <c r="A79" s="533"/>
      <c r="B79" s="534"/>
      <c r="C79" s="480"/>
      <c r="D79" s="480"/>
    </row>
    <row r="80" spans="1:7" s="4" customFormat="1">
      <c r="A80" s="533"/>
      <c r="B80" s="534"/>
      <c r="C80" s="480"/>
      <c r="D80" s="480"/>
    </row>
    <row r="81" spans="1:4" s="4" customFormat="1">
      <c r="A81" s="480"/>
      <c r="B81" s="480"/>
      <c r="C81" s="480"/>
      <c r="D81" s="480"/>
    </row>
    <row r="82" spans="1:4" s="4" customFormat="1">
      <c r="A82" s="480"/>
      <c r="B82" s="480"/>
      <c r="C82" s="480"/>
      <c r="D82" s="480"/>
    </row>
    <row r="83" spans="1:4" s="4" customFormat="1">
      <c r="A83" s="480"/>
      <c r="B83" s="480"/>
      <c r="C83" s="480"/>
      <c r="D83" s="480"/>
    </row>
  </sheetData>
  <sheetProtection password="CC8A" sheet="1" objects="1" scenarios="1"/>
  <mergeCells count="3">
    <mergeCell ref="C1:C2"/>
    <mergeCell ref="E1:E2"/>
    <mergeCell ref="G1:G2"/>
  </mergeCells>
  <printOptions horizontalCentered="1"/>
  <pageMargins left="0.75" right="0.75" top="1.32" bottom="0.35" header="0.52" footer="0.35"/>
  <pageSetup paperSize="5" scale="80" firstPageNumber="17" orientation="portrait" useFirstPageNumber="1" r:id="rId1"/>
  <headerFooter alignWithMargins="0">
    <oddHeader xml:space="preserve">&amp;L&amp;"Arial,Bold"&amp;18Table 4A: &amp;20 &amp;18FY2011-12 Budget Letter&amp;20 &amp;"Arial,Regular"&amp;10
&amp;18Foreign Associate Teacher Stipends (August 2011)
</oddHeader>
    <oddFooter>&amp;R&amp;P</oddFooter>
  </headerFooter>
</worksheet>
</file>

<file path=xl/worksheets/sheet8.xml><?xml version="1.0" encoding="utf-8"?>
<worksheet xmlns="http://schemas.openxmlformats.org/spreadsheetml/2006/main" xmlns:r="http://schemas.openxmlformats.org/officeDocument/2006/relationships">
  <dimension ref="A1:R22"/>
  <sheetViews>
    <sheetView view="pageBreakPreview" zoomScale="70" zoomScaleNormal="75" zoomScaleSheetLayoutView="70" workbookViewId="0">
      <selection sqref="A1:H1"/>
    </sheetView>
  </sheetViews>
  <sheetFormatPr defaultRowHeight="12.75"/>
  <cols>
    <col min="1" max="1" width="19.140625" customWidth="1"/>
    <col min="2" max="2" width="15" customWidth="1"/>
    <col min="3" max="3" width="14.5703125" customWidth="1"/>
    <col min="4" max="4" width="14" customWidth="1"/>
    <col min="5" max="5" width="14.42578125" customWidth="1"/>
    <col min="6" max="6" width="16.5703125" customWidth="1"/>
    <col min="7" max="7" width="16.42578125" customWidth="1"/>
    <col min="8" max="9" width="15.7109375" customWidth="1"/>
    <col min="10" max="10" width="15.85546875" customWidth="1"/>
    <col min="11" max="11" width="15.140625" customWidth="1"/>
    <col min="12" max="12" width="23.28515625" customWidth="1"/>
    <col min="13" max="13" width="15.7109375" customWidth="1"/>
    <col min="14" max="14" width="19.7109375" customWidth="1"/>
    <col min="15" max="17" width="16.28515625" customWidth="1"/>
    <col min="18" max="18" width="14.42578125" customWidth="1"/>
    <col min="19" max="19" width="16.28515625" customWidth="1"/>
    <col min="20" max="20" width="13.42578125" customWidth="1"/>
  </cols>
  <sheetData>
    <row r="1" spans="1:18" s="250" customFormat="1" ht="33" customHeight="1">
      <c r="A1" s="1716" t="s">
        <v>425</v>
      </c>
      <c r="B1" s="1716"/>
      <c r="C1" s="1716"/>
      <c r="D1" s="1716"/>
      <c r="E1" s="1716"/>
      <c r="F1" s="1716"/>
      <c r="G1" s="1716"/>
      <c r="H1" s="1716"/>
      <c r="I1" s="585"/>
      <c r="J1" s="585"/>
      <c r="K1" s="585"/>
      <c r="L1" s="585"/>
      <c r="M1" s="585"/>
    </row>
    <row r="2" spans="1:18" ht="11.25" hidden="1" customHeight="1">
      <c r="B2" s="320" t="s">
        <v>426</v>
      </c>
      <c r="C2" s="320"/>
      <c r="D2" s="320"/>
      <c r="E2" s="586" t="s">
        <v>427</v>
      </c>
      <c r="F2" s="319"/>
      <c r="G2" s="4"/>
      <c r="H2" s="4"/>
      <c r="I2" s="4"/>
      <c r="J2" s="4"/>
      <c r="K2" s="4"/>
      <c r="L2" s="4"/>
      <c r="M2" s="4"/>
    </row>
    <row r="3" spans="1:18" ht="26.25" customHeight="1">
      <c r="A3" s="1716" t="s">
        <v>428</v>
      </c>
      <c r="B3" s="1716"/>
      <c r="C3" s="1716"/>
      <c r="D3" s="1716"/>
      <c r="E3" s="1716"/>
      <c r="F3" s="1716"/>
      <c r="G3" s="1716"/>
      <c r="H3" s="1716"/>
      <c r="I3" s="585"/>
      <c r="J3" s="585"/>
      <c r="K3" s="585"/>
      <c r="L3" s="585"/>
      <c r="M3" s="585"/>
    </row>
    <row r="4" spans="1:18" ht="32.25" customHeight="1">
      <c r="B4" s="320"/>
      <c r="C4" s="320"/>
      <c r="D4" s="320"/>
      <c r="E4" s="587"/>
      <c r="F4" s="588"/>
      <c r="G4" s="588"/>
      <c r="H4" s="588"/>
      <c r="I4" s="589"/>
      <c r="J4" s="1717" t="s">
        <v>156</v>
      </c>
      <c r="K4" s="1718"/>
      <c r="L4" s="1719"/>
    </row>
    <row r="5" spans="1:18" ht="99" customHeight="1">
      <c r="A5" s="1655" t="s">
        <v>429</v>
      </c>
      <c r="B5" s="1655" t="s">
        <v>430</v>
      </c>
      <c r="C5" s="497" t="s">
        <v>431</v>
      </c>
      <c r="D5" s="1652" t="s">
        <v>432</v>
      </c>
      <c r="E5" s="1709" t="s">
        <v>433</v>
      </c>
      <c r="F5" s="1709" t="s">
        <v>434</v>
      </c>
      <c r="G5" s="1652" t="s">
        <v>435</v>
      </c>
      <c r="H5" s="1711" t="s">
        <v>436</v>
      </c>
      <c r="I5" s="1652" t="s">
        <v>437</v>
      </c>
      <c r="J5" s="1652" t="s">
        <v>438</v>
      </c>
      <c r="K5" s="1652" t="s">
        <v>439</v>
      </c>
      <c r="L5" s="1652" t="s">
        <v>440</v>
      </c>
      <c r="M5" s="1652" t="s">
        <v>441</v>
      </c>
      <c r="N5" s="1713" t="s">
        <v>442</v>
      </c>
      <c r="O5" s="1652" t="s">
        <v>443</v>
      </c>
      <c r="P5" s="1661" t="s">
        <v>444</v>
      </c>
      <c r="Q5" s="1661" t="s">
        <v>445</v>
      </c>
      <c r="R5" s="1655" t="s">
        <v>446</v>
      </c>
    </row>
    <row r="6" spans="1:18" ht="45.75" customHeight="1">
      <c r="A6" s="1657"/>
      <c r="B6" s="1657"/>
      <c r="C6" s="590" t="s">
        <v>447</v>
      </c>
      <c r="D6" s="1654"/>
      <c r="E6" s="1710"/>
      <c r="F6" s="1710"/>
      <c r="G6" s="1654"/>
      <c r="H6" s="1712"/>
      <c r="I6" s="1654"/>
      <c r="J6" s="1663"/>
      <c r="K6" s="1663"/>
      <c r="L6" s="1663"/>
      <c r="M6" s="1663"/>
      <c r="N6" s="1714"/>
      <c r="O6" s="1654"/>
      <c r="P6" s="1715"/>
      <c r="Q6" s="1715"/>
      <c r="R6" s="1657"/>
    </row>
    <row r="7" spans="1:18">
      <c r="A7" s="591"/>
      <c r="B7" s="592">
        <v>1</v>
      </c>
      <c r="C7" s="592">
        <f>B7+1</f>
        <v>2</v>
      </c>
      <c r="D7" s="592">
        <f t="shared" ref="D7:G7" si="0">C7+1</f>
        <v>3</v>
      </c>
      <c r="E7" s="592">
        <f t="shared" si="0"/>
        <v>4</v>
      </c>
      <c r="F7" s="592">
        <f t="shared" si="0"/>
        <v>5</v>
      </c>
      <c r="G7" s="592">
        <f t="shared" si="0"/>
        <v>6</v>
      </c>
      <c r="H7" s="592">
        <f>G7+1</f>
        <v>7</v>
      </c>
      <c r="I7" s="592">
        <f>H7+1</f>
        <v>8</v>
      </c>
      <c r="J7" s="592">
        <f t="shared" ref="J7:R7" si="1">I7+1</f>
        <v>9</v>
      </c>
      <c r="K7" s="592">
        <f t="shared" si="1"/>
        <v>10</v>
      </c>
      <c r="L7" s="592">
        <f t="shared" si="1"/>
        <v>11</v>
      </c>
      <c r="M7" s="592">
        <f t="shared" si="1"/>
        <v>12</v>
      </c>
      <c r="N7" s="592">
        <f t="shared" si="1"/>
        <v>13</v>
      </c>
      <c r="O7" s="592">
        <f t="shared" si="1"/>
        <v>14</v>
      </c>
      <c r="P7" s="592">
        <f t="shared" si="1"/>
        <v>15</v>
      </c>
      <c r="Q7" s="592">
        <f t="shared" si="1"/>
        <v>16</v>
      </c>
      <c r="R7" s="592">
        <f t="shared" si="1"/>
        <v>17</v>
      </c>
    </row>
    <row r="8" spans="1:18" ht="25.5">
      <c r="A8" s="593" t="s">
        <v>448</v>
      </c>
      <c r="B8" s="594">
        <f>'[4]Table 8   2-1-10 Membership'!U191</f>
        <v>1355</v>
      </c>
      <c r="C8" s="595">
        <f>'Table 3 Levels 1&amp;2'!AL77</f>
        <v>4330.434514547147</v>
      </c>
      <c r="D8" s="595">
        <f>B8*ROUND(C8,0)</f>
        <v>5867150</v>
      </c>
      <c r="E8" s="595">
        <f>'[6]Table 5A Lab Schools'!$G$8+'[6]Table 5A Lab Schools'!$K$8+'[6]Table 5A Lab Schools'!$D$17+'[6]Table 4 Level 3'!$C$75</f>
        <v>605.97185873605952</v>
      </c>
      <c r="F8" s="595">
        <f>E8*B8</f>
        <v>821091.8685873606</v>
      </c>
      <c r="G8" s="596">
        <f>D8+F8</f>
        <v>6688241.8685873607</v>
      </c>
      <c r="H8" s="595">
        <v>0</v>
      </c>
      <c r="I8" s="596">
        <f>SUM(G8:H8)</f>
        <v>6688241.8685873607</v>
      </c>
      <c r="J8" s="596">
        <f>'October midyear adj'!K77</f>
        <v>19745.625493132826</v>
      </c>
      <c r="K8" s="596">
        <f>'February midyear adj '!K77</f>
        <v>0</v>
      </c>
      <c r="L8" s="596">
        <f>J8+K8</f>
        <v>19745.625493132826</v>
      </c>
      <c r="M8" s="596">
        <f>I8+L8</f>
        <v>6707987.4940804932</v>
      </c>
      <c r="N8" s="597">
        <f>'[7]Table 5A1 Labs NOCCA LSMSA'!$K$8</f>
        <v>-4348</v>
      </c>
      <c r="O8" s="596">
        <f>M8+N8</f>
        <v>6703639.4940804932</v>
      </c>
      <c r="P8" s="596">
        <f>[8]MFP!$EG$79+556485</f>
        <v>4457956</v>
      </c>
      <c r="Q8" s="596">
        <f>O8-P8</f>
        <v>2245683.4940804932</v>
      </c>
      <c r="R8" s="595">
        <f>Q8/4</f>
        <v>561420.87352012331</v>
      </c>
    </row>
    <row r="9" spans="1:18" ht="25.5">
      <c r="A9" s="598" t="s">
        <v>449</v>
      </c>
      <c r="B9" s="594">
        <f>'[4]Table 8   2-1-10 Membership'!U192</f>
        <v>295</v>
      </c>
      <c r="C9" s="595">
        <f>'Table 3 Levels 1&amp;2'!AL77</f>
        <v>4330.434514547147</v>
      </c>
      <c r="D9" s="595">
        <f>B9*ROUND(C9,0)</f>
        <v>1277350</v>
      </c>
      <c r="E9" s="595">
        <f>'[6]Table 5A Lab Schools'!$G$9+'[6]Table 5A Lab Schools'!$K$9+'[6]Table 5A Lab Schools'!$D$18+'[6]Table 4 Level 3'!$C$75</f>
        <v>699.89832861189802</v>
      </c>
      <c r="F9" s="595">
        <f>E9*B9</f>
        <v>206470.00694050992</v>
      </c>
      <c r="G9" s="596">
        <f>D9+F9</f>
        <v>1483820.0069405099</v>
      </c>
      <c r="H9" s="595">
        <v>-5039</v>
      </c>
      <c r="I9" s="596">
        <f>SUM(G9:H9)</f>
        <v>1478781.0069405099</v>
      </c>
      <c r="J9" s="596">
        <f>'October midyear adj'!K78</f>
        <v>-30181.997058954272</v>
      </c>
      <c r="K9" s="596">
        <f>'February midyear adj '!K78</f>
        <v>-57848.827696329019</v>
      </c>
      <c r="L9" s="596">
        <f>J9+K9</f>
        <v>-88030.824755283291</v>
      </c>
      <c r="M9" s="596">
        <f>I9+L9</f>
        <v>1390750.1821852266</v>
      </c>
      <c r="N9" s="597">
        <f>'[7]Table 5A1 Labs NOCCA LSMSA'!$K$9</f>
        <v>-973</v>
      </c>
      <c r="O9" s="596">
        <f>M9+N9</f>
        <v>1389777.1821852266</v>
      </c>
      <c r="P9" s="596">
        <f>[8]MFP!$EG$80+123037</f>
        <v>985661</v>
      </c>
      <c r="Q9" s="596">
        <f>O9-P9</f>
        <v>404116.18218522659</v>
      </c>
      <c r="R9" s="595">
        <f>Q9/4</f>
        <v>101029.04554630665</v>
      </c>
    </row>
    <row r="10" spans="1:18" s="532" customFormat="1" ht="25.5" customHeight="1" thickBot="1">
      <c r="A10" s="599" t="s">
        <v>450</v>
      </c>
      <c r="B10" s="600">
        <f>SUM(B8:B9)</f>
        <v>1650</v>
      </c>
      <c r="C10" s="601"/>
      <c r="D10" s="602">
        <f>SUM(D8:D9)</f>
        <v>7144500</v>
      </c>
      <c r="E10" s="602"/>
      <c r="F10" s="602">
        <f t="shared" ref="F10:R10" si="2">SUM(F8:F9)</f>
        <v>1027561.8755278705</v>
      </c>
      <c r="G10" s="603">
        <f t="shared" si="2"/>
        <v>8172061.8755278708</v>
      </c>
      <c r="H10" s="602">
        <f t="shared" si="2"/>
        <v>-5039</v>
      </c>
      <c r="I10" s="603">
        <f t="shared" si="2"/>
        <v>8167022.8755278708</v>
      </c>
      <c r="J10" s="603">
        <f>SUM(J8:J9)</f>
        <v>-10436.371565821446</v>
      </c>
      <c r="K10" s="603">
        <f>SUM(K8:K9)</f>
        <v>-57848.827696329019</v>
      </c>
      <c r="L10" s="603">
        <f>SUM(L8:L9)</f>
        <v>-68285.199262150461</v>
      </c>
      <c r="M10" s="603">
        <f>SUM(M8:M9)</f>
        <v>8098737.6762657203</v>
      </c>
      <c r="N10" s="604">
        <f t="shared" si="2"/>
        <v>-5321</v>
      </c>
      <c r="O10" s="603">
        <f t="shared" si="2"/>
        <v>8093416.6762657203</v>
      </c>
      <c r="P10" s="603">
        <f>SUM(P8:P9)</f>
        <v>5443617</v>
      </c>
      <c r="Q10" s="603">
        <f>SUM(Q8:Q9)</f>
        <v>2649799.6762657198</v>
      </c>
      <c r="R10" s="602">
        <f t="shared" si="2"/>
        <v>662449.91906642995</v>
      </c>
    </row>
    <row r="11" spans="1:18" s="532" customFormat="1" ht="13.5" thickTop="1">
      <c r="A11" s="605"/>
      <c r="B11" s="606"/>
      <c r="C11" s="606"/>
      <c r="D11" s="607"/>
      <c r="E11" s="295"/>
    </row>
    <row r="12" spans="1:18" s="532" customFormat="1">
      <c r="A12" s="605"/>
      <c r="B12" s="606"/>
      <c r="C12" s="606"/>
      <c r="D12" s="607"/>
      <c r="E12" s="295"/>
    </row>
    <row r="13" spans="1:18" s="532" customFormat="1" ht="26.25" customHeight="1">
      <c r="A13" s="1716" t="s">
        <v>451</v>
      </c>
      <c r="B13" s="1716"/>
      <c r="C13" s="1716"/>
      <c r="D13" s="1716"/>
      <c r="E13" s="1716"/>
      <c r="F13" s="1716"/>
      <c r="G13" s="1716"/>
      <c r="H13" s="1716"/>
      <c r="I13" s="585"/>
      <c r="J13" s="585"/>
      <c r="K13" s="585"/>
      <c r="L13" s="585"/>
      <c r="M13" s="585"/>
    </row>
    <row r="14" spans="1:18" ht="40.5" customHeight="1">
      <c r="J14" s="1717" t="s">
        <v>156</v>
      </c>
      <c r="K14" s="1718"/>
      <c r="L14" s="1719"/>
    </row>
    <row r="15" spans="1:18" ht="63.75" customHeight="1">
      <c r="A15" s="1655" t="s">
        <v>429</v>
      </c>
      <c r="B15" s="1655" t="s">
        <v>452</v>
      </c>
      <c r="C15" s="1655" t="s">
        <v>453</v>
      </c>
      <c r="D15" s="1652" t="s">
        <v>454</v>
      </c>
      <c r="E15" s="1709" t="s">
        <v>433</v>
      </c>
      <c r="F15" s="1709" t="s">
        <v>434</v>
      </c>
      <c r="G15" s="1652" t="s">
        <v>435</v>
      </c>
      <c r="H15" s="1711" t="s">
        <v>436</v>
      </c>
      <c r="I15" s="1652" t="s">
        <v>437</v>
      </c>
      <c r="J15" s="1652" t="s">
        <v>438</v>
      </c>
      <c r="K15" s="1652" t="s">
        <v>439</v>
      </c>
      <c r="L15" s="1652" t="s">
        <v>440</v>
      </c>
      <c r="M15" s="1652" t="s">
        <v>441</v>
      </c>
      <c r="N15" s="1713" t="s">
        <v>442</v>
      </c>
      <c r="O15" s="1652" t="s">
        <v>455</v>
      </c>
      <c r="P15" s="1661" t="s">
        <v>444</v>
      </c>
      <c r="Q15" s="1661" t="s">
        <v>445</v>
      </c>
      <c r="R15" s="1655" t="s">
        <v>446</v>
      </c>
    </row>
    <row r="16" spans="1:18" ht="92.25" customHeight="1">
      <c r="A16" s="1657"/>
      <c r="B16" s="1657"/>
      <c r="C16" s="1657"/>
      <c r="D16" s="1654"/>
      <c r="E16" s="1710"/>
      <c r="F16" s="1710"/>
      <c r="G16" s="1654"/>
      <c r="H16" s="1712"/>
      <c r="I16" s="1654"/>
      <c r="J16" s="1663"/>
      <c r="K16" s="1663"/>
      <c r="L16" s="1663"/>
      <c r="M16" s="1663"/>
      <c r="N16" s="1714"/>
      <c r="O16" s="1654"/>
      <c r="P16" s="1715"/>
      <c r="Q16" s="1715"/>
      <c r="R16" s="1657"/>
    </row>
    <row r="17" spans="1:18">
      <c r="A17" s="591"/>
      <c r="B17" s="592">
        <v>1</v>
      </c>
      <c r="C17" s="592">
        <f>B17+1</f>
        <v>2</v>
      </c>
      <c r="D17" s="592">
        <f t="shared" ref="D17:R17" si="3">C17+1</f>
        <v>3</v>
      </c>
      <c r="E17" s="592">
        <f t="shared" si="3"/>
        <v>4</v>
      </c>
      <c r="F17" s="592">
        <f t="shared" si="3"/>
        <v>5</v>
      </c>
      <c r="G17" s="592">
        <f t="shared" si="3"/>
        <v>6</v>
      </c>
      <c r="H17" s="592">
        <f t="shared" si="3"/>
        <v>7</v>
      </c>
      <c r="I17" s="592">
        <f t="shared" si="3"/>
        <v>8</v>
      </c>
      <c r="J17" s="592">
        <f t="shared" si="3"/>
        <v>9</v>
      </c>
      <c r="K17" s="592">
        <f t="shared" si="3"/>
        <v>10</v>
      </c>
      <c r="L17" s="592">
        <f t="shared" si="3"/>
        <v>11</v>
      </c>
      <c r="M17" s="592">
        <f t="shared" si="3"/>
        <v>12</v>
      </c>
      <c r="N17" s="592">
        <f t="shared" si="3"/>
        <v>13</v>
      </c>
      <c r="O17" s="592">
        <f t="shared" si="3"/>
        <v>14</v>
      </c>
      <c r="P17" s="592">
        <f t="shared" si="3"/>
        <v>15</v>
      </c>
      <c r="Q17" s="592">
        <f t="shared" si="3"/>
        <v>16</v>
      </c>
      <c r="R17" s="592">
        <f t="shared" si="3"/>
        <v>17</v>
      </c>
    </row>
    <row r="18" spans="1:18" ht="33" customHeight="1">
      <c r="A18" s="608"/>
      <c r="B18" s="609"/>
      <c r="C18" s="609"/>
      <c r="D18" s="610" t="s">
        <v>456</v>
      </c>
      <c r="E18" s="609"/>
      <c r="F18" s="610" t="s">
        <v>457</v>
      </c>
      <c r="G18" s="610" t="s">
        <v>458</v>
      </c>
      <c r="H18" s="609"/>
      <c r="I18" s="609"/>
      <c r="J18" s="609"/>
      <c r="K18" s="609"/>
      <c r="L18" s="609"/>
      <c r="M18" s="610"/>
      <c r="N18" s="609"/>
      <c r="O18" s="610" t="s">
        <v>459</v>
      </c>
      <c r="P18" s="609"/>
      <c r="Q18" s="609"/>
      <c r="R18" s="609"/>
    </row>
    <row r="19" spans="1:18" ht="51">
      <c r="A19" s="593" t="s">
        <v>460</v>
      </c>
      <c r="B19" s="611">
        <v>321</v>
      </c>
      <c r="C19" s="595">
        <f>'Table 3 Levels 1&amp;2'!AL77</f>
        <v>4330.434514547147</v>
      </c>
      <c r="D19" s="595">
        <f>B19*ROUND(C19,0)</f>
        <v>1389930</v>
      </c>
      <c r="E19" s="595">
        <f>'Table 4 Level 3'!P75</f>
        <v>704.98328052506076</v>
      </c>
      <c r="F19" s="595">
        <f>E19*B19</f>
        <v>226299.63304854449</v>
      </c>
      <c r="G19" s="596">
        <f>D19+F19</f>
        <v>1616229.6330485444</v>
      </c>
      <c r="H19" s="595">
        <v>0</v>
      </c>
      <c r="I19" s="595">
        <f>SUM(G19:H19)</f>
        <v>1616229.6330485444</v>
      </c>
      <c r="J19" s="595">
        <f>'October midyear adj'!K81</f>
        <v>-35247.924565505455</v>
      </c>
      <c r="K19" s="595">
        <f>'February midyear adj '!K81</f>
        <v>-47836.469053185974</v>
      </c>
      <c r="L19" s="595">
        <f>J19+K19</f>
        <v>-83084.393618691422</v>
      </c>
      <c r="M19" s="596">
        <f>I19+L19</f>
        <v>1533145.2394298529</v>
      </c>
      <c r="N19" s="597">
        <v>0</v>
      </c>
      <c r="O19" s="596">
        <f>M19+N19</f>
        <v>1533145.2394298529</v>
      </c>
      <c r="P19" s="596">
        <f>[8]MFP!$EG$133+134686</f>
        <v>1077488</v>
      </c>
      <c r="Q19" s="596">
        <f>O19-P19</f>
        <v>455657.23942985293</v>
      </c>
      <c r="R19" s="595">
        <f>Q19/4</f>
        <v>113914.30985746323</v>
      </c>
    </row>
    <row r="20" spans="1:18" ht="38.25">
      <c r="A20" s="598" t="s">
        <v>461</v>
      </c>
      <c r="B20" s="611">
        <v>75</v>
      </c>
      <c r="C20" s="595">
        <f>'Table 3 Levels 1&amp;2'!AL77</f>
        <v>4330.434514547147</v>
      </c>
      <c r="D20" s="595">
        <f>B20*ROUND(C20,0)</f>
        <v>324750</v>
      </c>
      <c r="E20" s="595">
        <f>'Table 4 Level 3'!P75</f>
        <v>704.98328052506076</v>
      </c>
      <c r="F20" s="595">
        <f>E20*B20</f>
        <v>52873.746039379555</v>
      </c>
      <c r="G20" s="596">
        <f>D20+F20</f>
        <v>377623.74603937956</v>
      </c>
      <c r="H20" s="595">
        <v>0</v>
      </c>
      <c r="I20" s="595">
        <f>SUM(G20:H20)</f>
        <v>377623.74603937956</v>
      </c>
      <c r="J20" s="595">
        <f>'October midyear adj'!K84</f>
        <v>-95672.938106371948</v>
      </c>
      <c r="K20" s="595">
        <f>'February midyear adj '!K84</f>
        <v>-12588.54448768052</v>
      </c>
      <c r="L20" s="595">
        <f>J20+K20</f>
        <v>-108261.48259405248</v>
      </c>
      <c r="M20" s="596">
        <f>I20+L20</f>
        <v>269362.26344532706</v>
      </c>
      <c r="N20" s="597">
        <v>0</v>
      </c>
      <c r="O20" s="596">
        <f>M20+N20</f>
        <v>269362.26344532706</v>
      </c>
      <c r="P20" s="596">
        <f>[8]MFP!$EG$137+17801</f>
        <v>210748</v>
      </c>
      <c r="Q20" s="596">
        <f>O20-P20</f>
        <v>58614.263445327058</v>
      </c>
      <c r="R20" s="595">
        <f>Q20/4</f>
        <v>14653.565861331765</v>
      </c>
    </row>
    <row r="21" spans="1:18" ht="13.5" thickBot="1">
      <c r="A21" s="599" t="s">
        <v>450</v>
      </c>
      <c r="B21" s="600">
        <f>SUM(B19:B20)</f>
        <v>396</v>
      </c>
      <c r="C21" s="601"/>
      <c r="D21" s="602">
        <f>SUM(D19:D20)</f>
        <v>1714680</v>
      </c>
      <c r="E21" s="602"/>
      <c r="F21" s="602">
        <f>SUM(F19:F20)</f>
        <v>279173.37908792403</v>
      </c>
      <c r="G21" s="603">
        <f>SUM(G19:G20)</f>
        <v>1993853.379087924</v>
      </c>
      <c r="H21" s="602">
        <f t="shared" ref="H21:R21" si="4">SUM(H19:H20)</f>
        <v>0</v>
      </c>
      <c r="I21" s="602">
        <f>SUM(I19:I20)</f>
        <v>1993853.379087924</v>
      </c>
      <c r="J21" s="602">
        <f>SUM(J19:J20)</f>
        <v>-130920.8626718774</v>
      </c>
      <c r="K21" s="602">
        <f>SUM(K19:K20)</f>
        <v>-60425.013540866494</v>
      </c>
      <c r="L21" s="602">
        <f>SUM(L19:L20)</f>
        <v>-191345.8762127439</v>
      </c>
      <c r="M21" s="603">
        <f t="shared" si="4"/>
        <v>1802507.50287518</v>
      </c>
      <c r="N21" s="604">
        <f t="shared" si="4"/>
        <v>0</v>
      </c>
      <c r="O21" s="603">
        <f t="shared" si="4"/>
        <v>1802507.50287518</v>
      </c>
      <c r="P21" s="603">
        <f t="shared" si="4"/>
        <v>1288236</v>
      </c>
      <c r="Q21" s="603">
        <f t="shared" si="4"/>
        <v>514271.50287517998</v>
      </c>
      <c r="R21" s="602">
        <f t="shared" si="4"/>
        <v>128567.875718795</v>
      </c>
    </row>
    <row r="22" spans="1:18" ht="13.5" thickTop="1"/>
  </sheetData>
  <mergeCells count="40">
    <mergeCell ref="J4:L4"/>
    <mergeCell ref="A5:A6"/>
    <mergeCell ref="B5:B6"/>
    <mergeCell ref="D5:D6"/>
    <mergeCell ref="E5:E6"/>
    <mergeCell ref="F5:F6"/>
    <mergeCell ref="G5:G6"/>
    <mergeCell ref="H5:H6"/>
    <mergeCell ref="A15:A16"/>
    <mergeCell ref="B15:B16"/>
    <mergeCell ref="C15:C16"/>
    <mergeCell ref="A1:H1"/>
    <mergeCell ref="A3:H3"/>
    <mergeCell ref="J14:L14"/>
    <mergeCell ref="I5:I6"/>
    <mergeCell ref="J5:J6"/>
    <mergeCell ref="K5:K6"/>
    <mergeCell ref="L5:L6"/>
    <mergeCell ref="O5:O6"/>
    <mergeCell ref="P5:P6"/>
    <mergeCell ref="Q5:Q6"/>
    <mergeCell ref="R5:R6"/>
    <mergeCell ref="A13:H13"/>
    <mergeCell ref="M5:M6"/>
    <mergeCell ref="N5:N6"/>
    <mergeCell ref="D15:D16"/>
    <mergeCell ref="E15:E16"/>
    <mergeCell ref="R15:R16"/>
    <mergeCell ref="G15:G16"/>
    <mergeCell ref="H15:H16"/>
    <mergeCell ref="I15:I16"/>
    <mergeCell ref="J15:J16"/>
    <mergeCell ref="K15:K16"/>
    <mergeCell ref="L15:L16"/>
    <mergeCell ref="M15:M16"/>
    <mergeCell ref="N15:N16"/>
    <mergeCell ref="O15:O16"/>
    <mergeCell ref="P15:P16"/>
    <mergeCell ref="Q15:Q16"/>
    <mergeCell ref="F15:F16"/>
  </mergeCells>
  <printOptions horizontalCentered="1"/>
  <pageMargins left="0.25" right="0" top="0.25" bottom="0.25" header="0.25" footer="0.25"/>
  <pageSetup paperSize="5" scale="54" firstPageNumber="18" orientation="landscape" useFirstPageNumber="1" r:id="rId1"/>
  <headerFooter alignWithMargins="0">
    <oddHeader xml:space="preserve">&amp;R
</oddHeader>
    <oddFooter>&amp;R&amp;12&amp;P</oddFooter>
  </headerFooter>
  <rowBreaks count="1" manualBreakCount="1">
    <brk id="12" max="9" man="1"/>
  </rowBreaks>
</worksheet>
</file>

<file path=xl/worksheets/sheet9.xml><?xml version="1.0" encoding="utf-8"?>
<worksheet xmlns="http://schemas.openxmlformats.org/spreadsheetml/2006/main" xmlns:r="http://schemas.openxmlformats.org/officeDocument/2006/relationships">
  <dimension ref="A1:S75"/>
  <sheetViews>
    <sheetView view="pageBreakPreview" zoomScale="67" zoomScaleNormal="75" zoomScaleSheetLayoutView="67" workbookViewId="0">
      <pane xSplit="2" ySplit="5" topLeftCell="C6" activePane="bottomRight" state="frozen"/>
      <selection pane="topRight"/>
      <selection pane="bottomLeft"/>
      <selection pane="bottomRight" activeCell="A69" sqref="A69:XFD75"/>
    </sheetView>
  </sheetViews>
  <sheetFormatPr defaultRowHeight="12.75"/>
  <cols>
    <col min="1" max="1" width="8.7109375" style="250" customWidth="1"/>
    <col min="2" max="2" width="36.85546875" customWidth="1"/>
    <col min="3" max="3" width="11.42578125" bestFit="1" customWidth="1"/>
    <col min="4" max="4" width="14.5703125" bestFit="1" customWidth="1"/>
    <col min="5" max="5" width="16.140625" customWidth="1"/>
    <col min="6" max="6" width="23.28515625" customWidth="1"/>
    <col min="7" max="7" width="16.140625" bestFit="1" customWidth="1"/>
    <col min="8" max="12" width="16.28515625" customWidth="1"/>
    <col min="13" max="13" width="14.28515625" customWidth="1"/>
    <col min="14" max="14" width="16" customWidth="1"/>
    <col min="15" max="15" width="14.28515625" customWidth="1"/>
    <col min="16" max="16" width="17" customWidth="1"/>
    <col min="17" max="17" width="19.42578125" customWidth="1"/>
    <col min="18" max="18" width="24.85546875" customWidth="1"/>
    <col min="19" max="19" width="19.42578125" customWidth="1"/>
    <col min="20" max="20" width="18.85546875" customWidth="1"/>
    <col min="21" max="21" width="17" customWidth="1"/>
  </cols>
  <sheetData>
    <row r="1" spans="1:19" ht="21" customHeight="1" thickBot="1">
      <c r="A1" s="612"/>
      <c r="B1" s="613"/>
      <c r="C1" s="614"/>
      <c r="D1" s="614"/>
      <c r="E1" s="614"/>
      <c r="F1" s="614"/>
    </row>
    <row r="2" spans="1:19" ht="39.75" customHeight="1" thickBot="1">
      <c r="C2" s="320"/>
      <c r="D2" s="615">
        <f>'Table 3 Levels 1&amp;2'!AL43</f>
        <v>3252.0270959716217</v>
      </c>
      <c r="E2" s="616"/>
      <c r="F2" s="1692" t="s">
        <v>462</v>
      </c>
      <c r="G2" s="1693"/>
      <c r="H2" s="616"/>
      <c r="I2" s="1724" t="s">
        <v>156</v>
      </c>
      <c r="J2" s="1725"/>
      <c r="K2" s="1726"/>
      <c r="L2" s="616"/>
      <c r="M2" s="617"/>
      <c r="N2" s="617"/>
      <c r="O2" s="617"/>
      <c r="P2" s="586"/>
      <c r="Q2" s="320"/>
      <c r="R2" s="320"/>
      <c r="S2" s="320"/>
    </row>
    <row r="3" spans="1:19" ht="101.25" customHeight="1">
      <c r="A3" s="1655" t="s">
        <v>463</v>
      </c>
      <c r="B3" s="1655" t="s">
        <v>157</v>
      </c>
      <c r="C3" s="1655" t="s">
        <v>464</v>
      </c>
      <c r="D3" s="497" t="s">
        <v>465</v>
      </c>
      <c r="E3" s="1652" t="s">
        <v>466</v>
      </c>
      <c r="F3" s="1655" t="s">
        <v>467</v>
      </c>
      <c r="G3" s="1655" t="s">
        <v>468</v>
      </c>
      <c r="H3" s="1652" t="s">
        <v>469</v>
      </c>
      <c r="I3" s="1652" t="s">
        <v>470</v>
      </c>
      <c r="J3" s="1652" t="s">
        <v>471</v>
      </c>
      <c r="K3" s="1652" t="s">
        <v>440</v>
      </c>
      <c r="L3" s="1652" t="s">
        <v>472</v>
      </c>
      <c r="M3" s="1711" t="s">
        <v>473</v>
      </c>
      <c r="N3" s="1652" t="s">
        <v>474</v>
      </c>
      <c r="O3" s="1713" t="s">
        <v>442</v>
      </c>
      <c r="P3" s="1652" t="s">
        <v>475</v>
      </c>
      <c r="Q3" s="618"/>
      <c r="R3" s="618"/>
      <c r="S3" s="618"/>
    </row>
    <row r="4" spans="1:19" ht="37.5" customHeight="1">
      <c r="A4" s="1657" t="s">
        <v>476</v>
      </c>
      <c r="B4" s="1657"/>
      <c r="C4" s="1657"/>
      <c r="D4" s="619" t="s">
        <v>447</v>
      </c>
      <c r="E4" s="1654"/>
      <c r="F4" s="1657"/>
      <c r="G4" s="1657"/>
      <c r="H4" s="1654"/>
      <c r="I4" s="1663"/>
      <c r="J4" s="1663"/>
      <c r="K4" s="1663"/>
      <c r="L4" s="1663"/>
      <c r="M4" s="1712"/>
      <c r="N4" s="1654"/>
      <c r="O4" s="1714"/>
      <c r="P4" s="1654"/>
      <c r="Q4" s="620"/>
      <c r="R4" s="620"/>
      <c r="S4" s="620"/>
    </row>
    <row r="5" spans="1:19">
      <c r="A5" s="621"/>
      <c r="B5" s="591"/>
      <c r="C5" s="592">
        <v>1</v>
      </c>
      <c r="D5" s="592">
        <f t="shared" ref="D5:H5" si="0">C5+1</f>
        <v>2</v>
      </c>
      <c r="E5" s="592">
        <f t="shared" si="0"/>
        <v>3</v>
      </c>
      <c r="F5" s="592">
        <f t="shared" si="0"/>
        <v>4</v>
      </c>
      <c r="G5" s="592">
        <f t="shared" si="0"/>
        <v>5</v>
      </c>
      <c r="H5" s="592">
        <f t="shared" si="0"/>
        <v>6</v>
      </c>
      <c r="I5" s="592"/>
      <c r="J5" s="592"/>
      <c r="K5" s="592"/>
      <c r="L5" s="592"/>
      <c r="M5" s="592">
        <f>H5+1</f>
        <v>7</v>
      </c>
      <c r="N5" s="592">
        <v>8</v>
      </c>
      <c r="O5" s="592">
        <v>9</v>
      </c>
      <c r="P5" s="592">
        <v>10</v>
      </c>
      <c r="Q5" s="622"/>
      <c r="R5" s="622"/>
      <c r="S5" s="622"/>
    </row>
    <row r="6" spans="1:19" ht="30.75">
      <c r="A6" s="623" t="s">
        <v>477</v>
      </c>
      <c r="B6" s="624" t="s">
        <v>478</v>
      </c>
      <c r="C6" s="625">
        <f>'[4]Table 8   2-1-10 Membership'!U41</f>
        <v>10215</v>
      </c>
      <c r="D6" s="626">
        <f>$D$2</f>
        <v>3252.0270959716217</v>
      </c>
      <c r="E6" s="626">
        <f>ROUND(C6*D6,0)</f>
        <v>33219457</v>
      </c>
      <c r="F6" s="626">
        <v>727.23177743956114</v>
      </c>
      <c r="G6" s="626">
        <f>F6*C6</f>
        <v>7428672.6065451168</v>
      </c>
      <c r="H6" s="627">
        <f>E6+G6</f>
        <v>40648129.60654512</v>
      </c>
      <c r="I6" s="627">
        <f>'October midyear adj'!K41</f>
        <v>1778728.7164147987</v>
      </c>
      <c r="J6" s="627">
        <f>'February midyear adj '!K41</f>
        <v>-35813.329860700644</v>
      </c>
      <c r="K6" s="627">
        <f>I6+J6</f>
        <v>1742915.3865540982</v>
      </c>
      <c r="L6" s="627">
        <f>SUM(H6:J6)</f>
        <v>42391044.99309922</v>
      </c>
      <c r="M6" s="628" t="s">
        <v>479</v>
      </c>
      <c r="N6" s="629" t="s">
        <v>480</v>
      </c>
      <c r="O6" s="630">
        <f>'[7]Table 5B1_RSD_Orleans'!$K$6</f>
        <v>-26059</v>
      </c>
      <c r="Q6" s="622"/>
      <c r="R6" s="622"/>
      <c r="S6" s="622"/>
    </row>
    <row r="7" spans="1:19" ht="8.25" customHeight="1">
      <c r="A7" s="631"/>
      <c r="B7" s="1720"/>
      <c r="C7" s="1721"/>
      <c r="D7" s="1721"/>
      <c r="E7" s="1721"/>
      <c r="F7" s="1721"/>
      <c r="G7" s="1721"/>
      <c r="H7" s="1721"/>
      <c r="I7" s="1721"/>
      <c r="J7" s="1721"/>
      <c r="K7" s="1721"/>
      <c r="L7" s="1721"/>
      <c r="M7" s="1721"/>
      <c r="N7" s="1721"/>
      <c r="O7" s="1721"/>
      <c r="P7" s="1721"/>
      <c r="Q7" s="622"/>
      <c r="R7" s="622"/>
      <c r="S7" s="622"/>
    </row>
    <row r="8" spans="1:19" ht="24.75" customHeight="1">
      <c r="A8" s="632" t="s">
        <v>481</v>
      </c>
      <c r="B8" s="633" t="s">
        <v>482</v>
      </c>
      <c r="C8" s="625">
        <f>'[4]Table 8   2-1-10 Membership'!U105-C56-C58-C59-C60-C61-C73</f>
        <v>6314</v>
      </c>
      <c r="D8" s="626">
        <f>$D$2</f>
        <v>3252.0270959716217</v>
      </c>
      <c r="E8" s="626">
        <f>ROUND(C8*D8,0)</f>
        <v>20533299</v>
      </c>
      <c r="F8" s="626">
        <v>797.0524448632965</v>
      </c>
      <c r="G8" s="626">
        <f>F8*C8</f>
        <v>5032589.1368668545</v>
      </c>
      <c r="H8" s="627">
        <f>E8+G8</f>
        <v>25565888.136866853</v>
      </c>
      <c r="I8" s="627">
        <f>'October midyear adj'!K132</f>
        <v>-3538895.5186897186</v>
      </c>
      <c r="J8" s="627">
        <f>'February midyear adj '!K136</f>
        <v>305705.5053330363</v>
      </c>
      <c r="K8" s="627">
        <f>I8+J8</f>
        <v>-3233190.0133566824</v>
      </c>
      <c r="L8" s="627">
        <f>SUM(H8:J8)</f>
        <v>22332698.123510171</v>
      </c>
      <c r="M8" s="626">
        <v>-973193</v>
      </c>
      <c r="N8" s="627">
        <f>L8+M8</f>
        <v>21359505.123510171</v>
      </c>
      <c r="O8" s="634">
        <f>'[7]Table 5B1_RSD_Orleans'!$K$8</f>
        <v>-21311</v>
      </c>
      <c r="P8" s="635">
        <f>N8+O8</f>
        <v>21338194.123510171</v>
      </c>
      <c r="Q8" s="636"/>
      <c r="R8" s="636"/>
      <c r="S8" s="637"/>
    </row>
    <row r="9" spans="1:19" ht="8.25" customHeight="1">
      <c r="A9" s="638"/>
      <c r="B9" s="1720"/>
      <c r="C9" s="1721"/>
      <c r="D9" s="1721"/>
      <c r="E9" s="1721"/>
      <c r="F9" s="1721"/>
      <c r="G9" s="1721"/>
      <c r="H9" s="1721"/>
      <c r="I9" s="1721"/>
      <c r="J9" s="1721"/>
      <c r="K9" s="1721"/>
      <c r="L9" s="1721"/>
      <c r="M9" s="1721"/>
      <c r="N9" s="1721"/>
      <c r="O9" s="1721"/>
      <c r="P9" s="1721"/>
      <c r="Q9" s="636"/>
      <c r="R9" s="636"/>
      <c r="S9" s="637"/>
    </row>
    <row r="10" spans="1:19" ht="21" customHeight="1">
      <c r="A10" s="593"/>
      <c r="B10" s="639" t="s">
        <v>483</v>
      </c>
      <c r="C10" s="625"/>
      <c r="D10" s="626"/>
      <c r="E10" s="626"/>
      <c r="F10" s="626"/>
      <c r="G10" s="626"/>
      <c r="H10" s="627"/>
      <c r="I10" s="627"/>
      <c r="J10" s="627"/>
      <c r="K10" s="627"/>
      <c r="L10" s="627"/>
      <c r="M10" s="640"/>
      <c r="N10" s="627"/>
      <c r="O10" s="634"/>
      <c r="Q10" s="636"/>
      <c r="R10" s="636"/>
      <c r="S10" s="637"/>
    </row>
    <row r="11" spans="1:19" ht="30.75" customHeight="1">
      <c r="A11" s="641">
        <v>300001</v>
      </c>
      <c r="B11" s="642" t="s">
        <v>484</v>
      </c>
      <c r="C11" s="643">
        <f>'[4]Table 8   2-1-10 Membership'!U106</f>
        <v>362</v>
      </c>
      <c r="D11" s="644">
        <f t="shared" ref="D11:D61" si="1">$D$2</f>
        <v>3252.0270959716217</v>
      </c>
      <c r="E11" s="644">
        <f t="shared" ref="E11:E54" si="2">ROUND(C11*D11,0)</f>
        <v>1177234</v>
      </c>
      <c r="F11" s="626">
        <v>767.72184717013943</v>
      </c>
      <c r="G11" s="626">
        <f t="shared" ref="G11:G61" si="3">F11*C11</f>
        <v>277915.3086755905</v>
      </c>
      <c r="H11" s="627">
        <f>E11+G11</f>
        <v>1455149.3086755904</v>
      </c>
      <c r="I11" s="627">
        <f>'October midyear adj'!K139</f>
        <v>-88434.476749118752</v>
      </c>
      <c r="J11" s="627">
        <f>'February midyear adj '!K143</f>
        <v>0</v>
      </c>
      <c r="K11" s="627">
        <f t="shared" ref="K11:K61" si="4">I11+J11</f>
        <v>-88434.476749118752</v>
      </c>
      <c r="L11" s="627">
        <f t="shared" ref="L11:L61" si="5">SUM(H11:J11)</f>
        <v>1366714.8319264718</v>
      </c>
      <c r="M11" s="645">
        <v>-14467.817845618081</v>
      </c>
      <c r="N11" s="646">
        <f>L11+M11</f>
        <v>1352247.0140808537</v>
      </c>
      <c r="O11" s="647">
        <f>'[7]Table 5B1_RSD_Orleans'!$K11</f>
        <v>-928</v>
      </c>
      <c r="P11" s="644">
        <f t="shared" ref="P11:P61" si="6">N11+O11</f>
        <v>1351319.0140808537</v>
      </c>
      <c r="Q11" s="636"/>
      <c r="R11" s="636"/>
      <c r="S11" s="637"/>
    </row>
    <row r="12" spans="1:19" ht="30.75" customHeight="1">
      <c r="A12" s="641">
        <v>300002</v>
      </c>
      <c r="B12" s="642" t="s">
        <v>485</v>
      </c>
      <c r="C12" s="643">
        <f>'[4]Table 8   2-1-10 Membership'!U107</f>
        <v>369</v>
      </c>
      <c r="D12" s="644">
        <f t="shared" si="1"/>
        <v>3252.0270959716217</v>
      </c>
      <c r="E12" s="644">
        <f t="shared" si="2"/>
        <v>1199998</v>
      </c>
      <c r="F12" s="626">
        <v>730.66950653120466</v>
      </c>
      <c r="G12" s="626">
        <f t="shared" si="3"/>
        <v>269617.04791001452</v>
      </c>
      <c r="H12" s="627">
        <f t="shared" ref="H12:H61" si="7">E12+G12</f>
        <v>1469615.0479100146</v>
      </c>
      <c r="I12" s="627">
        <f>'October midyear adj'!K140</f>
        <v>302684.9417902148</v>
      </c>
      <c r="J12" s="627">
        <f>'February midyear adj '!K144</f>
        <v>-49783.707531285327</v>
      </c>
      <c r="K12" s="627">
        <f t="shared" si="4"/>
        <v>252901.23425892947</v>
      </c>
      <c r="L12" s="627">
        <f t="shared" si="5"/>
        <v>1722516.2821689441</v>
      </c>
      <c r="M12" s="645">
        <v>-6543.8498748064067</v>
      </c>
      <c r="N12" s="646">
        <f t="shared" ref="N12:N61" si="8">L12+M12</f>
        <v>1715972.4322941378</v>
      </c>
      <c r="O12" s="647">
        <f>'[7]Table 5B1_RSD_Orleans'!$K12</f>
        <v>-941</v>
      </c>
      <c r="P12" s="644">
        <f t="shared" si="6"/>
        <v>1715031.4322941378</v>
      </c>
      <c r="Q12" s="636"/>
      <c r="R12" s="636"/>
      <c r="S12" s="637"/>
    </row>
    <row r="13" spans="1:19" ht="30.75" customHeight="1">
      <c r="A13" s="648">
        <v>300003</v>
      </c>
      <c r="B13" s="649" t="s">
        <v>486</v>
      </c>
      <c r="C13" s="650">
        <f>'[4]Table 8   2-1-10 Membership'!U108+C73</f>
        <v>655</v>
      </c>
      <c r="D13" s="644">
        <f t="shared" si="1"/>
        <v>3252.0270959716217</v>
      </c>
      <c r="E13" s="644">
        <f t="shared" si="2"/>
        <v>2130078</v>
      </c>
      <c r="F13" s="626">
        <v>767.72184717013943</v>
      </c>
      <c r="G13" s="626">
        <f t="shared" si="3"/>
        <v>502857.80989644135</v>
      </c>
      <c r="H13" s="627">
        <f t="shared" si="7"/>
        <v>2632935.8098964412</v>
      </c>
      <c r="I13" s="627">
        <f>'October midyear adj'!K141</f>
        <v>-209026.94504337158</v>
      </c>
      <c r="J13" s="627">
        <f>'February midyear adj '!K145</f>
        <v>-4019.7489431417612</v>
      </c>
      <c r="K13" s="627">
        <f t="shared" si="4"/>
        <v>-213046.69398651333</v>
      </c>
      <c r="L13" s="627">
        <f t="shared" si="5"/>
        <v>2419889.115909928</v>
      </c>
      <c r="M13" s="645">
        <v>3709</v>
      </c>
      <c r="N13" s="646">
        <f t="shared" si="8"/>
        <v>2423598.115909928</v>
      </c>
      <c r="O13" s="647">
        <f>'[7]Table 5B1_RSD_Orleans'!$K13</f>
        <v>-1006</v>
      </c>
      <c r="P13" s="644">
        <f t="shared" si="6"/>
        <v>2422592.115909928</v>
      </c>
      <c r="Q13" s="636"/>
      <c r="R13" s="636"/>
      <c r="S13" s="637"/>
    </row>
    <row r="14" spans="1:19" ht="30.75" customHeight="1">
      <c r="A14" s="651">
        <v>300004</v>
      </c>
      <c r="B14" s="652" t="s">
        <v>487</v>
      </c>
      <c r="C14" s="643">
        <f>'[4]Table 8   2-1-10 Membership'!U109</f>
        <v>386</v>
      </c>
      <c r="D14" s="644">
        <f t="shared" si="1"/>
        <v>3252.0270959716217</v>
      </c>
      <c r="E14" s="644">
        <f t="shared" si="2"/>
        <v>1255282</v>
      </c>
      <c r="F14" s="640">
        <v>746.0335616438357</v>
      </c>
      <c r="G14" s="626">
        <f t="shared" si="3"/>
        <v>287968.95479452057</v>
      </c>
      <c r="H14" s="627">
        <f t="shared" si="7"/>
        <v>1543250.9547945205</v>
      </c>
      <c r="I14" s="627">
        <f>'October midyear adj'!K142</f>
        <v>115943.75907084826</v>
      </c>
      <c r="J14" s="627">
        <f>'February midyear adj '!K146</f>
        <v>15992.242630461829</v>
      </c>
      <c r="K14" s="627">
        <f t="shared" si="4"/>
        <v>131936.0017013101</v>
      </c>
      <c r="L14" s="627">
        <f t="shared" si="5"/>
        <v>1675186.9564958308</v>
      </c>
      <c r="M14" s="645">
        <v>-11820.887099638589</v>
      </c>
      <c r="N14" s="646">
        <f t="shared" si="8"/>
        <v>1663366.0693961922</v>
      </c>
      <c r="O14" s="647">
        <f>'[7]Table 5B1_RSD_Orleans'!$K14</f>
        <v>-964</v>
      </c>
      <c r="P14" s="644">
        <f t="shared" si="6"/>
        <v>1662402.0693961922</v>
      </c>
      <c r="Q14" s="636"/>
      <c r="R14" s="636"/>
      <c r="S14" s="637"/>
    </row>
    <row r="15" spans="1:19" ht="30.75" customHeight="1">
      <c r="A15" s="651">
        <v>366001</v>
      </c>
      <c r="B15" s="652" t="s">
        <v>488</v>
      </c>
      <c r="C15" s="653">
        <f>'[4]Table 8   2-1-10 Membership'!U110</f>
        <v>59</v>
      </c>
      <c r="D15" s="644">
        <f t="shared" si="1"/>
        <v>3252.0270959716217</v>
      </c>
      <c r="E15" s="644">
        <f>ROUND(C15*D15,0)</f>
        <v>191870</v>
      </c>
      <c r="F15" s="626">
        <v>746.0335616438357</v>
      </c>
      <c r="G15" s="626">
        <f>F15*C15</f>
        <v>44015.980136986305</v>
      </c>
      <c r="H15" s="627">
        <f>E15+G15</f>
        <v>235885.9801369863</v>
      </c>
      <c r="I15" s="627">
        <f>'October midyear adj'!K145</f>
        <v>223891.39682646561</v>
      </c>
      <c r="J15" s="627">
        <f>'February midyear adj '!K149</f>
        <v>-23988.363945692745</v>
      </c>
      <c r="K15" s="627">
        <f t="shared" si="4"/>
        <v>199903.03288077287</v>
      </c>
      <c r="L15" s="627">
        <f t="shared" si="5"/>
        <v>435789.01301775919</v>
      </c>
      <c r="M15" s="644">
        <v>0</v>
      </c>
      <c r="N15" s="646">
        <f t="shared" si="8"/>
        <v>435789.01301775919</v>
      </c>
      <c r="O15" s="647">
        <f>'[7]Table 5B1_RSD_Orleans'!$K15</f>
        <v>-154</v>
      </c>
      <c r="P15" s="644">
        <f t="shared" si="6"/>
        <v>435635.01301775919</v>
      </c>
      <c r="Q15" s="636"/>
      <c r="R15" s="636"/>
      <c r="S15" s="637"/>
    </row>
    <row r="16" spans="1:19" ht="30.75" customHeight="1">
      <c r="A16" s="651">
        <v>367001</v>
      </c>
      <c r="B16" s="652" t="s">
        <v>489</v>
      </c>
      <c r="C16" s="653">
        <f>'[4]Table 8   2-1-10 Membership'!U111</f>
        <v>364</v>
      </c>
      <c r="D16" s="644">
        <f t="shared" si="1"/>
        <v>3252.0270959716217</v>
      </c>
      <c r="E16" s="644">
        <f>ROUND(C16*D16,0)</f>
        <v>1183738</v>
      </c>
      <c r="F16" s="626">
        <v>746.0335616438357</v>
      </c>
      <c r="G16" s="626">
        <f>F16*C16</f>
        <v>271556.2164383562</v>
      </c>
      <c r="H16" s="627">
        <f>E16+G16</f>
        <v>1455294.2164383563</v>
      </c>
      <c r="I16" s="627">
        <f>'October midyear adj'!K146</f>
        <v>7996.1213152309147</v>
      </c>
      <c r="J16" s="627">
        <f>'February midyear adj '!K150</f>
        <v>-3998.0606576154573</v>
      </c>
      <c r="K16" s="627">
        <f t="shared" si="4"/>
        <v>3998.0606576154573</v>
      </c>
      <c r="L16" s="627">
        <f t="shared" si="5"/>
        <v>1459292.2770959716</v>
      </c>
      <c r="M16" s="644">
        <v>0</v>
      </c>
      <c r="N16" s="646">
        <f t="shared" si="8"/>
        <v>1459292.2770959716</v>
      </c>
      <c r="O16" s="647">
        <f>'[7]Table 5B1_RSD_Orleans'!$K16</f>
        <v>-942</v>
      </c>
      <c r="P16" s="644">
        <f t="shared" si="6"/>
        <v>1458350.2770959716</v>
      </c>
      <c r="Q16" s="636"/>
      <c r="R16" s="636"/>
      <c r="S16" s="637"/>
    </row>
    <row r="17" spans="1:19" ht="30.75" customHeight="1">
      <c r="A17" s="651">
        <v>368001</v>
      </c>
      <c r="B17" s="652" t="s">
        <v>490</v>
      </c>
      <c r="C17" s="653">
        <f>'[4]Table 8   2-1-10 Membership'!U112</f>
        <v>126</v>
      </c>
      <c r="D17" s="644">
        <f t="shared" si="1"/>
        <v>3252.0270959716217</v>
      </c>
      <c r="E17" s="644">
        <f>ROUND(C17*D17,0)</f>
        <v>409755</v>
      </c>
      <c r="F17" s="626">
        <v>746.0335616438357</v>
      </c>
      <c r="G17" s="626">
        <f>F17*C17</f>
        <v>94000.228767123292</v>
      </c>
      <c r="H17" s="627">
        <f>E17+G17</f>
        <v>503755.22876712331</v>
      </c>
      <c r="I17" s="627">
        <f>'October midyear adj'!K147</f>
        <v>299854.54932115931</v>
      </c>
      <c r="J17" s="627">
        <f>'February midyear adj '!K151</f>
        <v>-1999.0303288077287</v>
      </c>
      <c r="K17" s="627">
        <f t="shared" si="4"/>
        <v>297855.5189923516</v>
      </c>
      <c r="L17" s="627">
        <f t="shared" si="5"/>
        <v>801610.74775947479</v>
      </c>
      <c r="M17" s="644">
        <v>0</v>
      </c>
      <c r="N17" s="646">
        <f t="shared" si="8"/>
        <v>801610.74775947479</v>
      </c>
      <c r="O17" s="647">
        <f>'[7]Table 5B1_RSD_Orleans'!$K17</f>
        <v>-323</v>
      </c>
      <c r="P17" s="644">
        <f t="shared" si="6"/>
        <v>801287.74775947479</v>
      </c>
      <c r="Q17" s="636"/>
      <c r="R17" s="636"/>
      <c r="S17" s="637"/>
    </row>
    <row r="18" spans="1:19" ht="29.25">
      <c r="A18" s="651">
        <v>369001</v>
      </c>
      <c r="B18" s="652" t="s">
        <v>491</v>
      </c>
      <c r="C18" s="653">
        <f>'[4]Table 8   2-1-10 Membership'!U113</f>
        <v>568</v>
      </c>
      <c r="D18" s="644">
        <f t="shared" si="1"/>
        <v>3252.0270959716217</v>
      </c>
      <c r="E18" s="644">
        <f>ROUND(C18*D18,0)</f>
        <v>1847151</v>
      </c>
      <c r="F18" s="626">
        <v>746.0335616438357</v>
      </c>
      <c r="G18" s="626">
        <f>F18*C18</f>
        <v>423747.06301369867</v>
      </c>
      <c r="H18" s="627">
        <f>E18+G18</f>
        <v>2270898.0630136989</v>
      </c>
      <c r="I18" s="627">
        <f>'October midyear adj'!K148</f>
        <v>0</v>
      </c>
      <c r="J18" s="627">
        <f>'February midyear adj '!K152</f>
        <v>25987.394274500472</v>
      </c>
      <c r="K18" s="627">
        <f t="shared" si="4"/>
        <v>25987.394274500472</v>
      </c>
      <c r="L18" s="627">
        <f t="shared" si="5"/>
        <v>2296885.4572881996</v>
      </c>
      <c r="M18" s="644">
        <v>-19701</v>
      </c>
      <c r="N18" s="646">
        <f t="shared" si="8"/>
        <v>2277184.4572881996</v>
      </c>
      <c r="O18" s="647">
        <f>'[7]Table 5B1_RSD_Orleans'!$K18</f>
        <v>-1465</v>
      </c>
      <c r="P18" s="644">
        <f t="shared" si="6"/>
        <v>2275719.4572881996</v>
      </c>
      <c r="Q18" s="636"/>
      <c r="R18" s="636"/>
      <c r="S18" s="637"/>
    </row>
    <row r="19" spans="1:19" ht="30.75" customHeight="1">
      <c r="A19" s="651">
        <v>369002</v>
      </c>
      <c r="B19" s="652" t="s">
        <v>492</v>
      </c>
      <c r="C19" s="653">
        <f>'[4]Table 8   2-1-10 Membership'!U114</f>
        <v>618</v>
      </c>
      <c r="D19" s="644">
        <f t="shared" si="1"/>
        <v>3252.0270959716217</v>
      </c>
      <c r="E19" s="644">
        <f>ROUND(C19*D19,0)</f>
        <v>2009753</v>
      </c>
      <c r="F19" s="626">
        <v>746.0335616438357</v>
      </c>
      <c r="G19" s="626">
        <f>F19*C19</f>
        <v>461048.74109589047</v>
      </c>
      <c r="H19" s="627">
        <f>E19+G19</f>
        <v>2470801.7410958903</v>
      </c>
      <c r="I19" s="627">
        <f>'October midyear adj'!K149</f>
        <v>-147928.24433177192</v>
      </c>
      <c r="J19" s="627">
        <f>'February midyear adj '!K153</f>
        <v>53973.818877808677</v>
      </c>
      <c r="K19" s="627">
        <f t="shared" si="4"/>
        <v>-93954.425453963238</v>
      </c>
      <c r="L19" s="627">
        <f t="shared" si="5"/>
        <v>2376847.3156419271</v>
      </c>
      <c r="M19" s="644">
        <v>-3940</v>
      </c>
      <c r="N19" s="646">
        <f t="shared" si="8"/>
        <v>2372907.3156419271</v>
      </c>
      <c r="O19" s="647">
        <f>'[7]Table 5B1_RSD_Orleans'!$K19</f>
        <v>-1603</v>
      </c>
      <c r="P19" s="644">
        <f t="shared" si="6"/>
        <v>2371304.3156419271</v>
      </c>
      <c r="Q19" s="636"/>
      <c r="R19" s="636"/>
      <c r="S19" s="637"/>
    </row>
    <row r="20" spans="1:19" ht="30.75" customHeight="1">
      <c r="A20" s="648">
        <v>373001</v>
      </c>
      <c r="B20" s="649" t="s">
        <v>493</v>
      </c>
      <c r="C20" s="650">
        <f>'[4]Table 8   2-1-10 Membership'!U115</f>
        <v>240</v>
      </c>
      <c r="D20" s="644">
        <f t="shared" si="1"/>
        <v>3252.0270959716217</v>
      </c>
      <c r="E20" s="644">
        <f t="shared" si="2"/>
        <v>780487</v>
      </c>
      <c r="F20" s="626">
        <v>746.0335616438357</v>
      </c>
      <c r="G20" s="626">
        <f t="shared" si="3"/>
        <v>179048.05479452058</v>
      </c>
      <c r="H20" s="627">
        <f t="shared" si="7"/>
        <v>959535.05479452061</v>
      </c>
      <c r="I20" s="627">
        <f>'October midyear adj'!K153</f>
        <v>283862.30669069744</v>
      </c>
      <c r="J20" s="627">
        <f>'February midyear adj '!K157</f>
        <v>-1999.0303288077287</v>
      </c>
      <c r="K20" s="627">
        <f t="shared" si="4"/>
        <v>281863.27636188973</v>
      </c>
      <c r="L20" s="627">
        <f t="shared" si="5"/>
        <v>1241398.3311564105</v>
      </c>
      <c r="M20" s="645">
        <v>0</v>
      </c>
      <c r="N20" s="646">
        <f t="shared" si="8"/>
        <v>1241398.3311564105</v>
      </c>
      <c r="O20" s="647">
        <f>'[7]Table 5B1_RSD_Orleans'!$K20</f>
        <v>-614</v>
      </c>
      <c r="P20" s="644">
        <f t="shared" si="6"/>
        <v>1240784.3311564105</v>
      </c>
      <c r="Q20" s="636"/>
      <c r="R20" s="636"/>
      <c r="S20" s="637"/>
    </row>
    <row r="21" spans="1:19" ht="30.75" customHeight="1">
      <c r="A21" s="648">
        <v>374001</v>
      </c>
      <c r="B21" s="649" t="s">
        <v>494</v>
      </c>
      <c r="C21" s="650">
        <f>'[4]Table 8   2-1-10 Membership'!U116</f>
        <v>330</v>
      </c>
      <c r="D21" s="644">
        <f t="shared" si="1"/>
        <v>3252.0270959716217</v>
      </c>
      <c r="E21" s="644">
        <f t="shared" si="2"/>
        <v>1073169</v>
      </c>
      <c r="F21" s="626">
        <v>746.0335616438357</v>
      </c>
      <c r="G21" s="626">
        <f t="shared" si="3"/>
        <v>246191.07534246577</v>
      </c>
      <c r="H21" s="627">
        <f t="shared" si="7"/>
        <v>1319360.0753424657</v>
      </c>
      <c r="I21" s="627">
        <f>'October midyear adj'!K154</f>
        <v>199903.03288077287</v>
      </c>
      <c r="J21" s="627">
        <f>'February midyear adj '!K158</f>
        <v>5997.0909864231862</v>
      </c>
      <c r="K21" s="627">
        <f t="shared" si="4"/>
        <v>205900.12386719606</v>
      </c>
      <c r="L21" s="627">
        <f t="shared" si="5"/>
        <v>1525260.1992096617</v>
      </c>
      <c r="M21" s="644">
        <v>0</v>
      </c>
      <c r="N21" s="646">
        <f t="shared" si="8"/>
        <v>1525260.1992096617</v>
      </c>
      <c r="O21" s="647">
        <f>'[7]Table 5B1_RSD_Orleans'!$K21</f>
        <v>-842</v>
      </c>
      <c r="P21" s="644">
        <f t="shared" si="6"/>
        <v>1524418.1992096617</v>
      </c>
      <c r="Q21" s="636"/>
      <c r="R21" s="636"/>
      <c r="S21" s="637"/>
    </row>
    <row r="22" spans="1:19" ht="30.75" customHeight="1">
      <c r="A22" s="648">
        <v>375001</v>
      </c>
      <c r="B22" s="649" t="s">
        <v>495</v>
      </c>
      <c r="C22" s="650">
        <f>'[4]Table 8   2-1-10 Membership'!U117</f>
        <v>196</v>
      </c>
      <c r="D22" s="644">
        <f t="shared" si="1"/>
        <v>3252.0270959716217</v>
      </c>
      <c r="E22" s="644">
        <f t="shared" si="2"/>
        <v>637397</v>
      </c>
      <c r="F22" s="626">
        <v>746.0335616438357</v>
      </c>
      <c r="G22" s="626">
        <f t="shared" si="3"/>
        <v>146222.57808219179</v>
      </c>
      <c r="H22" s="627">
        <f t="shared" si="7"/>
        <v>783619.57808219176</v>
      </c>
      <c r="I22" s="627">
        <f>'October midyear adj'!K155</f>
        <v>467773.09694100852</v>
      </c>
      <c r="J22" s="627">
        <f>'February midyear adj '!K159</f>
        <v>-17991.272959269558</v>
      </c>
      <c r="K22" s="627">
        <f t="shared" si="4"/>
        <v>449781.82398173894</v>
      </c>
      <c r="L22" s="627">
        <f t="shared" si="5"/>
        <v>1233401.4020639306</v>
      </c>
      <c r="M22" s="644">
        <v>0</v>
      </c>
      <c r="N22" s="646">
        <f t="shared" si="8"/>
        <v>1233401.4020639306</v>
      </c>
      <c r="O22" s="647">
        <f>'[7]Table 5B1_RSD_Orleans'!$K22</f>
        <v>-503</v>
      </c>
      <c r="P22" s="644">
        <f t="shared" si="6"/>
        <v>1232898.4020639306</v>
      </c>
      <c r="Q22" s="636"/>
      <c r="R22" s="636"/>
      <c r="S22" s="637"/>
    </row>
    <row r="23" spans="1:19" ht="30.75" customHeight="1">
      <c r="A23" s="648">
        <v>376001</v>
      </c>
      <c r="B23" s="649" t="s">
        <v>496</v>
      </c>
      <c r="C23" s="650">
        <f>'[4]Table 8   2-1-10 Membership'!U118</f>
        <v>202</v>
      </c>
      <c r="D23" s="644">
        <f t="shared" si="1"/>
        <v>3252.0270959716217</v>
      </c>
      <c r="E23" s="644">
        <f t="shared" si="2"/>
        <v>656909</v>
      </c>
      <c r="F23" s="626">
        <v>746.0335616438357</v>
      </c>
      <c r="G23" s="626">
        <f t="shared" si="3"/>
        <v>150698.77945205482</v>
      </c>
      <c r="H23" s="627">
        <f t="shared" si="7"/>
        <v>807607.77945205476</v>
      </c>
      <c r="I23" s="627">
        <f>'October midyear adj'!K156</f>
        <v>183910.79025031102</v>
      </c>
      <c r="J23" s="627">
        <f>'February midyear adj '!K160</f>
        <v>9995.151644038644</v>
      </c>
      <c r="K23" s="627">
        <f t="shared" si="4"/>
        <v>193905.94189434967</v>
      </c>
      <c r="L23" s="627">
        <f t="shared" si="5"/>
        <v>1001513.7213464044</v>
      </c>
      <c r="M23" s="644">
        <v>0</v>
      </c>
      <c r="N23" s="646">
        <f t="shared" si="8"/>
        <v>1001513.7213464044</v>
      </c>
      <c r="O23" s="647">
        <f>'[7]Table 5B1_RSD_Orleans'!$K23</f>
        <v>-505</v>
      </c>
      <c r="P23" s="644">
        <f t="shared" si="6"/>
        <v>1001008.7213464044</v>
      </c>
      <c r="Q23" s="636"/>
      <c r="R23" s="636"/>
      <c r="S23" s="637"/>
    </row>
    <row r="24" spans="1:19" ht="30.75" customHeight="1">
      <c r="A24" s="641">
        <v>379001</v>
      </c>
      <c r="B24" s="642" t="s">
        <v>497</v>
      </c>
      <c r="C24" s="643">
        <f>'[4]Table 8   2-1-10 Membership'!U119</f>
        <v>186</v>
      </c>
      <c r="D24" s="644">
        <f t="shared" si="1"/>
        <v>3252.0270959716217</v>
      </c>
      <c r="E24" s="644">
        <f t="shared" si="2"/>
        <v>604877</v>
      </c>
      <c r="F24" s="626">
        <v>926.66296296296309</v>
      </c>
      <c r="G24" s="626">
        <f t="shared" si="3"/>
        <v>172359.31111111114</v>
      </c>
      <c r="H24" s="627">
        <f t="shared" si="7"/>
        <v>777236.31111111119</v>
      </c>
      <c r="I24" s="627">
        <f>'October midyear adj'!K157</f>
        <v>83573.801178691705</v>
      </c>
      <c r="J24" s="627">
        <f>'February midyear adj '!K161</f>
        <v>8357.3801178691701</v>
      </c>
      <c r="K24" s="627">
        <f t="shared" si="4"/>
        <v>91931.18129656087</v>
      </c>
      <c r="L24" s="627">
        <f t="shared" si="5"/>
        <v>869167.49240767199</v>
      </c>
      <c r="M24" s="644">
        <v>-8242</v>
      </c>
      <c r="N24" s="646">
        <f t="shared" si="8"/>
        <v>860925.49240767199</v>
      </c>
      <c r="O24" s="647">
        <f>'[7]Table 5B1_RSD_Orleans'!$K24</f>
        <v>-495</v>
      </c>
      <c r="P24" s="644">
        <f t="shared" si="6"/>
        <v>860430.49240767199</v>
      </c>
      <c r="Q24" s="636"/>
      <c r="R24" s="636"/>
      <c r="S24" s="637"/>
    </row>
    <row r="25" spans="1:19" ht="30.75" customHeight="1">
      <c r="A25" s="641">
        <v>380001</v>
      </c>
      <c r="B25" s="642" t="s">
        <v>498</v>
      </c>
      <c r="C25" s="643">
        <f>'[4]Table 8   2-1-10 Membership'!U120</f>
        <v>366</v>
      </c>
      <c r="D25" s="644">
        <f t="shared" si="1"/>
        <v>3252.0270959716217</v>
      </c>
      <c r="E25" s="644">
        <f t="shared" si="2"/>
        <v>1190242</v>
      </c>
      <c r="F25" s="626">
        <v>744.77798165137619</v>
      </c>
      <c r="G25" s="626">
        <f t="shared" si="3"/>
        <v>272588.74128440366</v>
      </c>
      <c r="H25" s="627">
        <f t="shared" si="7"/>
        <v>1462830.7412844037</v>
      </c>
      <c r="I25" s="627">
        <f>'October midyear adj'!K158</f>
        <v>211830.66911401888</v>
      </c>
      <c r="J25" s="627">
        <f>'February midyear adj '!K162</f>
        <v>0</v>
      </c>
      <c r="K25" s="627">
        <f t="shared" si="4"/>
        <v>211830.66911401888</v>
      </c>
      <c r="L25" s="627">
        <f t="shared" si="5"/>
        <v>1674661.4103984225</v>
      </c>
      <c r="M25" s="644">
        <v>0</v>
      </c>
      <c r="N25" s="646">
        <f t="shared" si="8"/>
        <v>1674661.4103984225</v>
      </c>
      <c r="O25" s="647">
        <f>'[7]Table 5B1_RSD_Orleans'!$K25</f>
        <v>-928</v>
      </c>
      <c r="P25" s="644">
        <f t="shared" si="6"/>
        <v>1673733.4103984225</v>
      </c>
      <c r="Q25" s="636"/>
      <c r="R25" s="636"/>
      <c r="S25" s="637"/>
    </row>
    <row r="26" spans="1:19" ht="28.5" customHeight="1">
      <c r="A26" s="641">
        <v>381001</v>
      </c>
      <c r="B26" s="642" t="s">
        <v>499</v>
      </c>
      <c r="C26" s="643">
        <f>'[4]Table 8   2-1-10 Membership'!U121</f>
        <v>216</v>
      </c>
      <c r="D26" s="644">
        <f t="shared" si="1"/>
        <v>3252.0270959716217</v>
      </c>
      <c r="E26" s="644">
        <f t="shared" si="2"/>
        <v>702438</v>
      </c>
      <c r="F26" s="626">
        <v>743.65689655172423</v>
      </c>
      <c r="G26" s="626">
        <f t="shared" si="3"/>
        <v>160629.88965517245</v>
      </c>
      <c r="H26" s="627">
        <f t="shared" si="7"/>
        <v>863067.88965517248</v>
      </c>
      <c r="I26" s="627">
        <f>'October midyear adj'!K159</f>
        <v>363607.24331962451</v>
      </c>
      <c r="J26" s="627">
        <f>'February midyear adj '!K163</f>
        <v>1997.8419962616731</v>
      </c>
      <c r="K26" s="627">
        <f t="shared" si="4"/>
        <v>365605.08531588619</v>
      </c>
      <c r="L26" s="627">
        <f t="shared" si="5"/>
        <v>1228672.9749710585</v>
      </c>
      <c r="M26" s="644">
        <v>-3272</v>
      </c>
      <c r="N26" s="646">
        <f t="shared" si="8"/>
        <v>1225400.9749710585</v>
      </c>
      <c r="O26" s="647">
        <f>'[7]Table 5B1_RSD_Orleans'!$K26</f>
        <v>-555</v>
      </c>
      <c r="P26" s="644">
        <f t="shared" si="6"/>
        <v>1224845.9749710585</v>
      </c>
      <c r="Q26" s="636"/>
      <c r="R26" s="636"/>
      <c r="S26" s="637"/>
    </row>
    <row r="27" spans="1:19" ht="30.75" customHeight="1">
      <c r="A27" s="641">
        <v>382001</v>
      </c>
      <c r="B27" s="642" t="s">
        <v>500</v>
      </c>
      <c r="C27" s="643">
        <f>'[4]Table 8   2-1-10 Membership'!U122</f>
        <v>243</v>
      </c>
      <c r="D27" s="644">
        <f t="shared" si="1"/>
        <v>3252.0270959716217</v>
      </c>
      <c r="E27" s="644">
        <f t="shared" si="2"/>
        <v>790243</v>
      </c>
      <c r="F27" s="626">
        <v>783.54939759036142</v>
      </c>
      <c r="G27" s="626">
        <f t="shared" si="3"/>
        <v>190402.50361445782</v>
      </c>
      <c r="H27" s="627">
        <f t="shared" si="7"/>
        <v>980645.50361445779</v>
      </c>
      <c r="I27" s="627">
        <f>'October midyear adj'!K160</f>
        <v>367237.46091414045</v>
      </c>
      <c r="J27" s="627">
        <f>'February midyear adj '!K164</f>
        <v>4035.5764935619832</v>
      </c>
      <c r="K27" s="627">
        <f t="shared" si="4"/>
        <v>371273.03740770242</v>
      </c>
      <c r="L27" s="627">
        <f t="shared" si="5"/>
        <v>1351918.5410221603</v>
      </c>
      <c r="M27" s="644">
        <v>-18380.523064942023</v>
      </c>
      <c r="N27" s="646">
        <f t="shared" si="8"/>
        <v>1333538.0179572182</v>
      </c>
      <c r="O27" s="647">
        <f>'[7]Table 5B1_RSD_Orleans'!$K27</f>
        <v>-584</v>
      </c>
      <c r="P27" s="644">
        <f t="shared" si="6"/>
        <v>1332954.0179572182</v>
      </c>
      <c r="Q27" s="636"/>
      <c r="R27" s="636"/>
      <c r="S27" s="637"/>
    </row>
    <row r="28" spans="1:19" ht="30.75" customHeight="1">
      <c r="A28" s="648">
        <v>383001</v>
      </c>
      <c r="B28" s="649" t="s">
        <v>501</v>
      </c>
      <c r="C28" s="643">
        <f>'[4]Table 8   2-1-10 Membership'!U123</f>
        <v>241</v>
      </c>
      <c r="D28" s="644">
        <f t="shared" si="1"/>
        <v>3252.0270959716217</v>
      </c>
      <c r="E28" s="644">
        <f t="shared" si="2"/>
        <v>783739</v>
      </c>
      <c r="F28" s="626">
        <v>762.07037037037037</v>
      </c>
      <c r="G28" s="626">
        <f t="shared" si="3"/>
        <v>183658.95925925925</v>
      </c>
      <c r="H28" s="627">
        <f t="shared" si="7"/>
        <v>967397.95925925928</v>
      </c>
      <c r="I28" s="627">
        <f>'October midyear adj'!K161</f>
        <v>40140.974663419918</v>
      </c>
      <c r="J28" s="627">
        <f>'February midyear adj '!K165</f>
        <v>-24084.584798051954</v>
      </c>
      <c r="K28" s="627">
        <f t="shared" si="4"/>
        <v>16056.389865367964</v>
      </c>
      <c r="L28" s="627">
        <f t="shared" si="5"/>
        <v>983454.34912462719</v>
      </c>
      <c r="M28" s="644">
        <f>-7228.25744600922-1329</f>
        <v>-8557.2574460092201</v>
      </c>
      <c r="N28" s="646">
        <f t="shared" si="8"/>
        <v>974897.09167861799</v>
      </c>
      <c r="O28" s="647">
        <f>'[7]Table 5B1_RSD_Orleans'!$K28</f>
        <v>-627</v>
      </c>
      <c r="P28" s="644">
        <f t="shared" si="6"/>
        <v>974270.09167861799</v>
      </c>
      <c r="Q28" s="636"/>
      <c r="R28" s="636"/>
      <c r="S28" s="637"/>
    </row>
    <row r="29" spans="1:19" ht="30.75" customHeight="1">
      <c r="A29" s="641">
        <v>384001</v>
      </c>
      <c r="B29" s="642" t="s">
        <v>502</v>
      </c>
      <c r="C29" s="643">
        <f>'[4]Table 8   2-1-10 Membership'!U124</f>
        <v>520</v>
      </c>
      <c r="D29" s="644">
        <f t="shared" si="1"/>
        <v>3252.0270959716217</v>
      </c>
      <c r="E29" s="644">
        <f t="shared" si="2"/>
        <v>1691054</v>
      </c>
      <c r="F29" s="626">
        <v>735.82244897959185</v>
      </c>
      <c r="G29" s="626">
        <f t="shared" si="3"/>
        <v>382627.67346938775</v>
      </c>
      <c r="H29" s="627">
        <f t="shared" si="7"/>
        <v>2073681.6734693877</v>
      </c>
      <c r="I29" s="627">
        <f>'October midyear adj'!K162</f>
        <v>167489.68088795099</v>
      </c>
      <c r="J29" s="627">
        <f>'February midyear adj '!K166</f>
        <v>-71781.291809121845</v>
      </c>
      <c r="K29" s="627">
        <f t="shared" si="4"/>
        <v>95708.389078829146</v>
      </c>
      <c r="L29" s="627">
        <f t="shared" si="5"/>
        <v>2169390.0625482164</v>
      </c>
      <c r="M29" s="644">
        <v>-30664.806317034407</v>
      </c>
      <c r="N29" s="646">
        <f t="shared" si="8"/>
        <v>2138725.2562311823</v>
      </c>
      <c r="O29" s="647">
        <f>'[7]Table 5B1_RSD_Orleans'!$K29</f>
        <v>-1341</v>
      </c>
      <c r="P29" s="644">
        <f t="shared" si="6"/>
        <v>2137384.2562311823</v>
      </c>
      <c r="Q29" s="636"/>
      <c r="R29" s="636"/>
      <c r="S29" s="637"/>
    </row>
    <row r="30" spans="1:19" ht="30.75" customHeight="1">
      <c r="A30" s="641">
        <v>385001</v>
      </c>
      <c r="B30" s="642" t="s">
        <v>503</v>
      </c>
      <c r="C30" s="643">
        <f>'[4]Table 8   2-1-10 Membership'!U125</f>
        <v>601</v>
      </c>
      <c r="D30" s="644">
        <f t="shared" si="1"/>
        <v>3252.0270959716217</v>
      </c>
      <c r="E30" s="644">
        <f t="shared" si="2"/>
        <v>1954468</v>
      </c>
      <c r="F30" s="626">
        <v>618.75651162790689</v>
      </c>
      <c r="G30" s="626">
        <f t="shared" si="3"/>
        <v>371872.66348837205</v>
      </c>
      <c r="H30" s="627">
        <f t="shared" si="7"/>
        <v>2326340.6634883722</v>
      </c>
      <c r="I30" s="627">
        <f>'October midyear adj'!K163</f>
        <v>836089.25924149819</v>
      </c>
      <c r="J30" s="627">
        <f>'February midyear adj '!K167</f>
        <v>-90963.414778588922</v>
      </c>
      <c r="K30" s="627">
        <f t="shared" si="4"/>
        <v>745125.84446290927</v>
      </c>
      <c r="L30" s="627">
        <f t="shared" si="5"/>
        <v>3071466.5079512815</v>
      </c>
      <c r="M30" s="644">
        <v>0</v>
      </c>
      <c r="N30" s="646">
        <f t="shared" si="8"/>
        <v>3071466.5079512815</v>
      </c>
      <c r="O30" s="647">
        <f>'[7]Table 5B1_RSD_Orleans'!$K30</f>
        <v>-1489</v>
      </c>
      <c r="P30" s="644">
        <f t="shared" si="6"/>
        <v>3069977.5079512815</v>
      </c>
      <c r="Q30" s="636"/>
      <c r="R30" s="636"/>
      <c r="S30" s="637"/>
    </row>
    <row r="31" spans="1:19" ht="30.75" customHeight="1">
      <c r="A31" s="641">
        <v>387001</v>
      </c>
      <c r="B31" s="642" t="s">
        <v>504</v>
      </c>
      <c r="C31" s="643">
        <f>'[4]Table 8   2-1-10 Membership'!U126</f>
        <v>596</v>
      </c>
      <c r="D31" s="644">
        <f t="shared" si="1"/>
        <v>3252.0270959716217</v>
      </c>
      <c r="E31" s="644">
        <f t="shared" si="2"/>
        <v>1938208</v>
      </c>
      <c r="F31" s="626">
        <v>679.69448058280273</v>
      </c>
      <c r="G31" s="626">
        <f t="shared" si="3"/>
        <v>405097.91042735043</v>
      </c>
      <c r="H31" s="627">
        <f t="shared" si="7"/>
        <v>2343305.9104273506</v>
      </c>
      <c r="I31" s="627">
        <f>'October midyear adj'!K164</f>
        <v>82566.153107642909</v>
      </c>
      <c r="J31" s="627">
        <f>'February midyear adj '!K168</f>
        <v>-5897.5823648316364</v>
      </c>
      <c r="K31" s="627">
        <f t="shared" si="4"/>
        <v>76668.57074281128</v>
      </c>
      <c r="L31" s="627">
        <f t="shared" si="5"/>
        <v>2419974.4811701621</v>
      </c>
      <c r="M31" s="644">
        <v>0</v>
      </c>
      <c r="N31" s="646">
        <f t="shared" si="8"/>
        <v>2419974.4811701621</v>
      </c>
      <c r="O31" s="647">
        <f>'[7]Table 5B1_RSD_Orleans'!$K31</f>
        <v>-1497</v>
      </c>
      <c r="P31" s="644">
        <f t="shared" si="6"/>
        <v>2418477.4811701621</v>
      </c>
      <c r="Q31" s="636"/>
      <c r="R31" s="636"/>
      <c r="S31" s="637"/>
    </row>
    <row r="32" spans="1:19" ht="30.75" customHeight="1">
      <c r="A32" s="641">
        <v>388001</v>
      </c>
      <c r="B32" s="642" t="s">
        <v>505</v>
      </c>
      <c r="C32" s="643">
        <f>'[4]Table 8   2-1-10 Membership'!U127</f>
        <v>553</v>
      </c>
      <c r="D32" s="644">
        <f t="shared" si="1"/>
        <v>3252.0270959716217</v>
      </c>
      <c r="E32" s="644">
        <f t="shared" si="2"/>
        <v>1798371</v>
      </c>
      <c r="F32" s="626">
        <v>708.2132751810401</v>
      </c>
      <c r="G32" s="626">
        <f t="shared" si="3"/>
        <v>391641.94117511518</v>
      </c>
      <c r="H32" s="627">
        <f t="shared" si="7"/>
        <v>2190012.9411751153</v>
      </c>
      <c r="I32" s="627">
        <f>'October midyear adj'!K165</f>
        <v>11880.721113457985</v>
      </c>
      <c r="J32" s="627">
        <f>'February midyear adj '!K169</f>
        <v>-15840.961484610647</v>
      </c>
      <c r="K32" s="627">
        <f t="shared" si="4"/>
        <v>-3960.2403711526622</v>
      </c>
      <c r="L32" s="627">
        <f t="shared" si="5"/>
        <v>2186052.7008039625</v>
      </c>
      <c r="M32" s="644">
        <v>-7804.9508268334903</v>
      </c>
      <c r="N32" s="646">
        <f t="shared" si="8"/>
        <v>2178247.749977129</v>
      </c>
      <c r="O32" s="647">
        <f>'[7]Table 5B1_RSD_Orleans'!$K32</f>
        <v>-1410</v>
      </c>
      <c r="P32" s="644">
        <f t="shared" si="6"/>
        <v>2176837.749977129</v>
      </c>
      <c r="Q32" s="636"/>
      <c r="R32" s="636"/>
      <c r="S32" s="637"/>
    </row>
    <row r="33" spans="1:19" ht="30.75" customHeight="1">
      <c r="A33" s="641">
        <v>389001</v>
      </c>
      <c r="B33" s="642" t="s">
        <v>506</v>
      </c>
      <c r="C33" s="643">
        <f>'[4]Table 8   2-1-10 Membership'!U128</f>
        <v>563</v>
      </c>
      <c r="D33" s="644">
        <f t="shared" si="1"/>
        <v>3252.0270959716217</v>
      </c>
      <c r="E33" s="644">
        <f t="shared" si="2"/>
        <v>1830891</v>
      </c>
      <c r="F33" s="626">
        <v>678.80657639489118</v>
      </c>
      <c r="G33" s="626">
        <f t="shared" si="3"/>
        <v>382168.10251032375</v>
      </c>
      <c r="H33" s="627">
        <f t="shared" si="7"/>
        <v>2213059.1025103237</v>
      </c>
      <c r="I33" s="627">
        <f>'October midyear adj'!K136</f>
        <v>-55031.671413131182</v>
      </c>
      <c r="J33" s="627">
        <f>'February midyear adj '!K140</f>
        <v>-51100.837740764669</v>
      </c>
      <c r="K33" s="627">
        <f t="shared" si="4"/>
        <v>-106132.50915389585</v>
      </c>
      <c r="L33" s="627">
        <f t="shared" si="5"/>
        <v>2106926.5933564282</v>
      </c>
      <c r="M33" s="644">
        <v>0</v>
      </c>
      <c r="N33" s="646">
        <f t="shared" si="8"/>
        <v>2106926.5933564282</v>
      </c>
      <c r="O33" s="647">
        <f>'[7]Table 5B1_RSD_Orleans'!$K33</f>
        <v>-1447.9423698413395</v>
      </c>
      <c r="P33" s="644">
        <f t="shared" si="6"/>
        <v>2105478.6509865867</v>
      </c>
      <c r="Q33" s="636"/>
      <c r="R33" s="636"/>
      <c r="S33" s="637"/>
    </row>
    <row r="34" spans="1:19" ht="30.75" customHeight="1">
      <c r="A34" s="641">
        <v>390001</v>
      </c>
      <c r="B34" s="642" t="s">
        <v>507</v>
      </c>
      <c r="C34" s="643">
        <f>'[4]Table 8   2-1-10 Membership'!U129</f>
        <v>595</v>
      </c>
      <c r="D34" s="644">
        <f t="shared" si="1"/>
        <v>3252.0270959716217</v>
      </c>
      <c r="E34" s="644">
        <f t="shared" si="2"/>
        <v>1934956</v>
      </c>
      <c r="F34" s="626">
        <v>650.55234865477053</v>
      </c>
      <c r="G34" s="626">
        <f t="shared" si="3"/>
        <v>387078.64744958846</v>
      </c>
      <c r="H34" s="627">
        <f t="shared" si="7"/>
        <v>2322034.6474495884</v>
      </c>
      <c r="I34" s="627">
        <f>'October midyear adj'!K166</f>
        <v>308303.77612548496</v>
      </c>
      <c r="J34" s="627">
        <f>'February midyear adj '!K170</f>
        <v>-13659.028056192372</v>
      </c>
      <c r="K34" s="627">
        <f t="shared" si="4"/>
        <v>294644.74806929257</v>
      </c>
      <c r="L34" s="627">
        <f t="shared" si="5"/>
        <v>2616679.3955188813</v>
      </c>
      <c r="M34" s="644">
        <v>0</v>
      </c>
      <c r="N34" s="646">
        <f t="shared" si="8"/>
        <v>2616679.3955188813</v>
      </c>
      <c r="O34" s="647">
        <f>'[7]Table 5B1_RSD_Orleans'!$K34</f>
        <v>-1507</v>
      </c>
      <c r="P34" s="644">
        <f t="shared" si="6"/>
        <v>2615172.3955188813</v>
      </c>
      <c r="Q34" s="636"/>
      <c r="R34" s="636"/>
      <c r="S34" s="637"/>
    </row>
    <row r="35" spans="1:19" ht="30.75" customHeight="1">
      <c r="A35" s="641">
        <v>391001</v>
      </c>
      <c r="B35" s="642" t="s">
        <v>508</v>
      </c>
      <c r="C35" s="643">
        <f>'[4]Table 8   2-1-10 Membership'!U130</f>
        <v>665</v>
      </c>
      <c r="D35" s="644">
        <f t="shared" si="1"/>
        <v>3252.0270959716217</v>
      </c>
      <c r="E35" s="644">
        <f t="shared" si="2"/>
        <v>2162598</v>
      </c>
      <c r="F35" s="626">
        <v>721.28337970262919</v>
      </c>
      <c r="G35" s="626">
        <f t="shared" si="3"/>
        <v>479653.4475022484</v>
      </c>
      <c r="H35" s="627">
        <f t="shared" si="7"/>
        <v>2642251.4475022485</v>
      </c>
      <c r="I35" s="627">
        <f>'October midyear adj'!K167</f>
        <v>-99332.76189185628</v>
      </c>
      <c r="J35" s="627">
        <f>'February midyear adj '!K171</f>
        <v>91386.140940507772</v>
      </c>
      <c r="K35" s="627">
        <f t="shared" si="4"/>
        <v>-7946.6209513485082</v>
      </c>
      <c r="L35" s="627">
        <f t="shared" si="5"/>
        <v>2634304.8265509</v>
      </c>
      <c r="M35" s="644">
        <v>-2616.8761893165215</v>
      </c>
      <c r="N35" s="646">
        <f t="shared" si="8"/>
        <v>2631687.9503615834</v>
      </c>
      <c r="O35" s="647">
        <f>'[7]Table 5B1_RSD_Orleans'!$K35</f>
        <v>-1690</v>
      </c>
      <c r="P35" s="644">
        <f t="shared" si="6"/>
        <v>2629997.9503615834</v>
      </c>
      <c r="Q35" s="636"/>
      <c r="R35" s="636"/>
      <c r="S35" s="637"/>
    </row>
    <row r="36" spans="1:19" ht="30.75" customHeight="1">
      <c r="A36" s="641">
        <v>392001</v>
      </c>
      <c r="B36" s="642" t="s">
        <v>509</v>
      </c>
      <c r="C36" s="643">
        <f>'[4]Table 8   2-1-10 Membership'!U131</f>
        <v>402</v>
      </c>
      <c r="D36" s="644">
        <f t="shared" si="1"/>
        <v>3252.0270959716217</v>
      </c>
      <c r="E36" s="644">
        <f t="shared" si="2"/>
        <v>1307315</v>
      </c>
      <c r="F36" s="626">
        <v>600.21655982905986</v>
      </c>
      <c r="G36" s="626">
        <f t="shared" si="3"/>
        <v>241287.05705128206</v>
      </c>
      <c r="H36" s="627">
        <f t="shared" si="7"/>
        <v>1548602.0570512821</v>
      </c>
      <c r="I36" s="627">
        <f>'October midyear adj'!K168</f>
        <v>-7704.4873116013632</v>
      </c>
      <c r="J36" s="627">
        <f>'February midyear adj '!K172</f>
        <v>-1926.1218279003408</v>
      </c>
      <c r="K36" s="627">
        <f t="shared" si="4"/>
        <v>-9630.6091395017047</v>
      </c>
      <c r="L36" s="627">
        <f t="shared" si="5"/>
        <v>1538971.4479117803</v>
      </c>
      <c r="M36" s="644">
        <v>-11383.436094194272</v>
      </c>
      <c r="N36" s="646">
        <f t="shared" si="8"/>
        <v>1527588.0118175861</v>
      </c>
      <c r="O36" s="647">
        <f>'[7]Table 5B1_RSD_Orleans'!$K36</f>
        <v>-994</v>
      </c>
      <c r="P36" s="644">
        <f t="shared" si="6"/>
        <v>1526594.0118175861</v>
      </c>
      <c r="Q36" s="636"/>
      <c r="R36" s="636"/>
      <c r="S36" s="637"/>
    </row>
    <row r="37" spans="1:19" ht="30.75" customHeight="1">
      <c r="A37" s="641">
        <v>393001</v>
      </c>
      <c r="B37" s="642" t="s">
        <v>510</v>
      </c>
      <c r="C37" s="643">
        <f>'[4]Table 8   2-1-10 Membership'!U132</f>
        <v>769</v>
      </c>
      <c r="D37" s="644">
        <f t="shared" si="1"/>
        <v>3252.0270959716217</v>
      </c>
      <c r="E37" s="644">
        <f t="shared" si="2"/>
        <v>2500809</v>
      </c>
      <c r="F37" s="626">
        <v>776.90344307346322</v>
      </c>
      <c r="G37" s="626">
        <f t="shared" si="3"/>
        <v>597438.74772349326</v>
      </c>
      <c r="H37" s="627">
        <f t="shared" si="7"/>
        <v>3098247.7477234933</v>
      </c>
      <c r="I37" s="627">
        <f>'October midyear adj'!K169</f>
        <v>40289.305390450849</v>
      </c>
      <c r="J37" s="627">
        <f>'February midyear adj '!K173</f>
        <v>12086.791617135255</v>
      </c>
      <c r="K37" s="627">
        <f t="shared" si="4"/>
        <v>52376.097007586104</v>
      </c>
      <c r="L37" s="627">
        <f t="shared" si="5"/>
        <v>3150623.8447310789</v>
      </c>
      <c r="M37" s="644">
        <v>0</v>
      </c>
      <c r="N37" s="646">
        <f t="shared" si="8"/>
        <v>3150623.8447310789</v>
      </c>
      <c r="O37" s="647">
        <f>'[7]Table 5B1_RSD_Orleans'!$K37</f>
        <v>-1963</v>
      </c>
      <c r="P37" s="644">
        <f t="shared" si="6"/>
        <v>3148660.8447310789</v>
      </c>
      <c r="Q37" s="636"/>
      <c r="R37" s="636"/>
      <c r="S37" s="637"/>
    </row>
    <row r="38" spans="1:19" ht="30.75" customHeight="1">
      <c r="A38" s="641">
        <v>393002</v>
      </c>
      <c r="B38" s="642" t="s">
        <v>511</v>
      </c>
      <c r="C38" s="643">
        <f>'[4]Table 8   2-1-10 Membership'!U133</f>
        <v>401</v>
      </c>
      <c r="D38" s="644">
        <f t="shared" si="1"/>
        <v>3252.0270959716217</v>
      </c>
      <c r="E38" s="644">
        <f>ROUND(C38*D38,0)</f>
        <v>1304063</v>
      </c>
      <c r="F38" s="626">
        <v>642.89065513553726</v>
      </c>
      <c r="G38" s="626">
        <f>F38*C38</f>
        <v>257799.15270935043</v>
      </c>
      <c r="H38" s="627">
        <f>E38+G38</f>
        <v>1561862.1527093505</v>
      </c>
      <c r="I38" s="627">
        <f>'October midyear adj'!K170</f>
        <v>77898.35502214318</v>
      </c>
      <c r="J38" s="627">
        <f>'February midyear adj '!K174</f>
        <v>1947.4588755535794</v>
      </c>
      <c r="K38" s="627">
        <f t="shared" si="4"/>
        <v>79845.81389769676</v>
      </c>
      <c r="L38" s="627">
        <f t="shared" si="5"/>
        <v>1641707.9666070472</v>
      </c>
      <c r="M38" s="644">
        <v>-3837</v>
      </c>
      <c r="N38" s="646">
        <f t="shared" si="8"/>
        <v>1637870.9666070472</v>
      </c>
      <c r="O38" s="647">
        <f>'[7]Table 5B1_RSD_Orleans'!$K38</f>
        <v>-993</v>
      </c>
      <c r="P38" s="644">
        <f t="shared" si="6"/>
        <v>1636877.9666070472</v>
      </c>
      <c r="Q38" s="636"/>
      <c r="R38" s="636"/>
      <c r="S38" s="637"/>
    </row>
    <row r="39" spans="1:19" ht="30.75" customHeight="1">
      <c r="A39" s="641">
        <v>394003</v>
      </c>
      <c r="B39" s="642" t="s">
        <v>512</v>
      </c>
      <c r="C39" s="643">
        <f>'[4]Table 8   2-1-10 Membership'!U134</f>
        <v>505</v>
      </c>
      <c r="D39" s="644">
        <f t="shared" si="1"/>
        <v>3252.0270959716217</v>
      </c>
      <c r="E39" s="644">
        <f t="shared" si="2"/>
        <v>1642274</v>
      </c>
      <c r="F39" s="626">
        <v>594.39059133489468</v>
      </c>
      <c r="G39" s="626">
        <f t="shared" si="3"/>
        <v>300167.24862412183</v>
      </c>
      <c r="H39" s="627">
        <f t="shared" si="7"/>
        <v>1942441.2486241218</v>
      </c>
      <c r="I39" s="627">
        <f>'October midyear adj'!K171</f>
        <v>-65389.100684210774</v>
      </c>
      <c r="J39" s="627">
        <f>'February midyear adj '!K175</f>
        <v>-15385.670749226065</v>
      </c>
      <c r="K39" s="627">
        <f t="shared" si="4"/>
        <v>-80774.771433436836</v>
      </c>
      <c r="L39" s="627">
        <f t="shared" si="5"/>
        <v>1861666.477190685</v>
      </c>
      <c r="M39" s="644">
        <f>-22731.9163774235+11366</f>
        <v>-11365.916377423498</v>
      </c>
      <c r="N39" s="646">
        <f t="shared" si="8"/>
        <v>1850300.5608132614</v>
      </c>
      <c r="O39" s="647">
        <f>'[7]Table 5B1_RSD_Orleans'!$K39</f>
        <v>-1262</v>
      </c>
      <c r="P39" s="644">
        <f t="shared" si="6"/>
        <v>1849038.5608132614</v>
      </c>
      <c r="Q39" s="636"/>
      <c r="R39" s="636"/>
      <c r="S39" s="637"/>
    </row>
    <row r="40" spans="1:19" ht="30.75" customHeight="1">
      <c r="A40" s="641">
        <v>395001</v>
      </c>
      <c r="B40" s="642" t="s">
        <v>513</v>
      </c>
      <c r="C40" s="643">
        <f>'[4]Table 8   2-1-10 Membership'!U135</f>
        <v>601</v>
      </c>
      <c r="D40" s="644">
        <f t="shared" si="1"/>
        <v>3252.0270959716217</v>
      </c>
      <c r="E40" s="644">
        <f t="shared" si="2"/>
        <v>1954468</v>
      </c>
      <c r="F40" s="626">
        <v>678.38194087511556</v>
      </c>
      <c r="G40" s="626">
        <f t="shared" si="3"/>
        <v>407707.54646594444</v>
      </c>
      <c r="H40" s="627">
        <f t="shared" si="7"/>
        <v>2362175.5464659445</v>
      </c>
      <c r="I40" s="627">
        <f>'October midyear adj'!K172</f>
        <v>161146.77051071622</v>
      </c>
      <c r="J40" s="627">
        <f>'February midyear adj '!K176</f>
        <v>-1965.2045184233687</v>
      </c>
      <c r="K40" s="627">
        <f t="shared" si="4"/>
        <v>159181.56599229286</v>
      </c>
      <c r="L40" s="627">
        <f t="shared" si="5"/>
        <v>2521357.1124582374</v>
      </c>
      <c r="M40" s="644">
        <v>0</v>
      </c>
      <c r="N40" s="646">
        <f t="shared" si="8"/>
        <v>2521357.1124582374</v>
      </c>
      <c r="O40" s="647">
        <f>'[7]Table 5B1_RSD_Orleans'!$K40</f>
        <v>-1504</v>
      </c>
      <c r="P40" s="644">
        <f t="shared" si="6"/>
        <v>2519853.1124582374</v>
      </c>
      <c r="Q40" s="636"/>
      <c r="R40" s="636"/>
      <c r="S40" s="637"/>
    </row>
    <row r="41" spans="1:19" ht="30.75" customHeight="1">
      <c r="A41" s="641">
        <v>395002</v>
      </c>
      <c r="B41" s="642" t="s">
        <v>514</v>
      </c>
      <c r="C41" s="643">
        <f>'[4]Table 8   2-1-10 Membership'!U136</f>
        <v>577</v>
      </c>
      <c r="D41" s="644">
        <f t="shared" si="1"/>
        <v>3252.0270959716217</v>
      </c>
      <c r="E41" s="644">
        <f t="shared" si="2"/>
        <v>1876420</v>
      </c>
      <c r="F41" s="626">
        <v>686.92241021135874</v>
      </c>
      <c r="G41" s="626">
        <f t="shared" si="3"/>
        <v>396354.23069195397</v>
      </c>
      <c r="H41" s="627">
        <f t="shared" si="7"/>
        <v>2272774.230691954</v>
      </c>
      <c r="I41" s="627">
        <f>'October midyear adj'!K173</f>
        <v>118168.48518548941</v>
      </c>
      <c r="J41" s="627">
        <f>'February midyear adj '!K177</f>
        <v>-29542.121296372352</v>
      </c>
      <c r="K41" s="627">
        <f t="shared" si="4"/>
        <v>88626.363889117056</v>
      </c>
      <c r="L41" s="627">
        <f t="shared" si="5"/>
        <v>2361400.5945810713</v>
      </c>
      <c r="M41" s="644">
        <v>-7762.3690968941046</v>
      </c>
      <c r="N41" s="646">
        <f t="shared" si="8"/>
        <v>2353638.225484177</v>
      </c>
      <c r="O41" s="647">
        <f>'[7]Table 5B1_RSD_Orleans'!$K41</f>
        <v>-1459</v>
      </c>
      <c r="P41" s="644">
        <f t="shared" si="6"/>
        <v>2352179.225484177</v>
      </c>
      <c r="Q41" s="636"/>
      <c r="R41" s="636"/>
      <c r="S41" s="637"/>
    </row>
    <row r="42" spans="1:19" ht="30.75" customHeight="1">
      <c r="A42" s="641">
        <v>395003</v>
      </c>
      <c r="B42" s="642" t="s">
        <v>515</v>
      </c>
      <c r="C42" s="643">
        <f>'[4]Table 8   2-1-10 Membership'!U137</f>
        <v>446</v>
      </c>
      <c r="D42" s="644">
        <f t="shared" si="1"/>
        <v>3252.0270959716217</v>
      </c>
      <c r="E42" s="644">
        <f t="shared" si="2"/>
        <v>1450404</v>
      </c>
      <c r="F42" s="626">
        <v>761.3587570202327</v>
      </c>
      <c r="G42" s="626">
        <f t="shared" si="3"/>
        <v>339566.00563102379</v>
      </c>
      <c r="H42" s="627">
        <f t="shared" si="7"/>
        <v>1789970.0056310238</v>
      </c>
      <c r="I42" s="627">
        <f>'October midyear adj'!K174</f>
        <v>722409.45353853377</v>
      </c>
      <c r="J42" s="627">
        <f>'February midyear adj '!K178</f>
        <v>-32107.086823934835</v>
      </c>
      <c r="K42" s="627">
        <f t="shared" si="4"/>
        <v>690302.36671459896</v>
      </c>
      <c r="L42" s="627">
        <f t="shared" si="5"/>
        <v>2480272.3723456226</v>
      </c>
      <c r="M42" s="644">
        <v>-3955.6208952559391</v>
      </c>
      <c r="N42" s="646">
        <f t="shared" si="8"/>
        <v>2476316.7514503668</v>
      </c>
      <c r="O42" s="647">
        <f>'[7]Table 5B1_RSD_Orleans'!$K42</f>
        <v>-1169</v>
      </c>
      <c r="P42" s="644">
        <f t="shared" si="6"/>
        <v>2475147.7514503668</v>
      </c>
      <c r="Q42" s="636"/>
      <c r="R42" s="636"/>
      <c r="S42" s="637"/>
    </row>
    <row r="43" spans="1:19" ht="30.75" customHeight="1">
      <c r="A43" s="641">
        <v>395004</v>
      </c>
      <c r="B43" s="642" t="s">
        <v>516</v>
      </c>
      <c r="C43" s="643">
        <f>'[4]Table 8   2-1-10 Membership'!U138</f>
        <v>505</v>
      </c>
      <c r="D43" s="644">
        <f t="shared" si="1"/>
        <v>3252.0270959716217</v>
      </c>
      <c r="E43" s="644">
        <f t="shared" si="2"/>
        <v>1642274</v>
      </c>
      <c r="F43" s="626">
        <v>1003.4698393033485</v>
      </c>
      <c r="G43" s="626">
        <f t="shared" si="3"/>
        <v>506752.26884819102</v>
      </c>
      <c r="H43" s="627">
        <f t="shared" si="7"/>
        <v>2149026.268848191</v>
      </c>
      <c r="I43" s="627">
        <f>'October midyear adj'!K175</f>
        <v>-72343.447899674502</v>
      </c>
      <c r="J43" s="627">
        <f>'February midyear adj '!K179</f>
        <v>-36171.723949837251</v>
      </c>
      <c r="K43" s="627">
        <f t="shared" si="4"/>
        <v>-108515.17184951175</v>
      </c>
      <c r="L43" s="627">
        <f t="shared" si="5"/>
        <v>2040511.0969986792</v>
      </c>
      <c r="M43" s="644">
        <v>-6610.8110106695494</v>
      </c>
      <c r="N43" s="646">
        <f t="shared" si="8"/>
        <v>2033900.2859880098</v>
      </c>
      <c r="O43" s="647">
        <f>'[7]Table 5B1_RSD_Orleans'!$K43</f>
        <v>-1398</v>
      </c>
      <c r="P43" s="644">
        <f t="shared" si="6"/>
        <v>2032502.2859880098</v>
      </c>
      <c r="Q43" s="636"/>
      <c r="R43" s="636"/>
      <c r="S43" s="637"/>
    </row>
    <row r="44" spans="1:19" ht="30.75" customHeight="1">
      <c r="A44" s="641">
        <v>395005</v>
      </c>
      <c r="B44" s="642" t="s">
        <v>517</v>
      </c>
      <c r="C44" s="643">
        <f>'[4]Table 8   2-1-10 Membership'!U139</f>
        <v>881</v>
      </c>
      <c r="D44" s="644">
        <f t="shared" si="1"/>
        <v>3252.0270959716217</v>
      </c>
      <c r="E44" s="644">
        <f t="shared" si="2"/>
        <v>2865036</v>
      </c>
      <c r="F44" s="626">
        <v>592.05529010815155</v>
      </c>
      <c r="G44" s="626">
        <f t="shared" si="3"/>
        <v>521600.71058528154</v>
      </c>
      <c r="H44" s="627">
        <f t="shared" si="7"/>
        <v>3386636.7105852817</v>
      </c>
      <c r="I44" s="627">
        <f>'October midyear adj'!K176</f>
        <v>34596.741474717957</v>
      </c>
      <c r="J44" s="627">
        <f>'February midyear adj '!K180</f>
        <v>-61505.318177276371</v>
      </c>
      <c r="K44" s="627">
        <f t="shared" si="4"/>
        <v>-26908.576702558414</v>
      </c>
      <c r="L44" s="627">
        <f t="shared" si="5"/>
        <v>3359728.1338827233</v>
      </c>
      <c r="M44" s="644">
        <v>-39018.971786517737</v>
      </c>
      <c r="N44" s="646">
        <f t="shared" si="8"/>
        <v>3320709.1620962056</v>
      </c>
      <c r="O44" s="647">
        <f>'[7]Table 5B1_RSD_Orleans'!$K44</f>
        <v>-2153</v>
      </c>
      <c r="P44" s="644">
        <f t="shared" si="6"/>
        <v>3318556.1620962056</v>
      </c>
      <c r="Q44" s="636"/>
      <c r="R44" s="636"/>
      <c r="S44" s="637"/>
    </row>
    <row r="45" spans="1:19" ht="30.75" customHeight="1">
      <c r="A45" s="641">
        <v>395007</v>
      </c>
      <c r="B45" s="642" t="s">
        <v>518</v>
      </c>
      <c r="C45" s="643">
        <f>'[4]Table 8   2-1-10 Membership'!U141</f>
        <v>322</v>
      </c>
      <c r="D45" s="644">
        <f t="shared" si="1"/>
        <v>3252.0270959716217</v>
      </c>
      <c r="E45" s="644">
        <f t="shared" si="2"/>
        <v>1047153</v>
      </c>
      <c r="F45" s="626">
        <v>907.69666061705993</v>
      </c>
      <c r="G45" s="626">
        <f t="shared" si="3"/>
        <v>292278.32471869327</v>
      </c>
      <c r="H45" s="627">
        <f t="shared" si="7"/>
        <v>1339431.3247186933</v>
      </c>
      <c r="I45" s="627">
        <f>'October midyear adj'!K177</f>
        <v>-133111.16021083781</v>
      </c>
      <c r="J45" s="627">
        <f>'February midyear adj '!K181</f>
        <v>-24958.342539532088</v>
      </c>
      <c r="K45" s="627">
        <f t="shared" si="4"/>
        <v>-158069.50275036989</v>
      </c>
      <c r="L45" s="627">
        <f t="shared" si="5"/>
        <v>1181361.8219683233</v>
      </c>
      <c r="M45" s="644">
        <v>-39855.78241749567</v>
      </c>
      <c r="N45" s="646">
        <f t="shared" si="8"/>
        <v>1141506.0395508276</v>
      </c>
      <c r="O45" s="647">
        <f>'[7]Table 5B1_RSD_Orleans'!$K45</f>
        <v>-866</v>
      </c>
      <c r="P45" s="644">
        <f t="shared" si="6"/>
        <v>1140640.0395508276</v>
      </c>
      <c r="Q45" s="636"/>
      <c r="R45" s="636"/>
      <c r="S45" s="637"/>
    </row>
    <row r="46" spans="1:19" ht="30.75" customHeight="1">
      <c r="A46" s="641">
        <v>397001</v>
      </c>
      <c r="B46" s="642" t="s">
        <v>519</v>
      </c>
      <c r="C46" s="643">
        <f>'[4]Table 8   2-1-10 Membership'!U142</f>
        <v>402</v>
      </c>
      <c r="D46" s="644">
        <f t="shared" si="1"/>
        <v>3252.0270959716217</v>
      </c>
      <c r="E46" s="644">
        <f t="shared" si="2"/>
        <v>1307315</v>
      </c>
      <c r="F46" s="626">
        <v>741.72363820787723</v>
      </c>
      <c r="G46" s="626">
        <f t="shared" si="3"/>
        <v>298172.90255956666</v>
      </c>
      <c r="H46" s="627">
        <f t="shared" si="7"/>
        <v>1605487.9025595668</v>
      </c>
      <c r="I46" s="627">
        <f>'October midyear adj'!K178</f>
        <v>295537.55432928295</v>
      </c>
      <c r="J46" s="627">
        <f>'February midyear adj '!K182</f>
        <v>-13978.127569628246</v>
      </c>
      <c r="K46" s="627">
        <f t="shared" si="4"/>
        <v>281559.42675965471</v>
      </c>
      <c r="L46" s="627">
        <f t="shared" si="5"/>
        <v>1887047.3293192217</v>
      </c>
      <c r="M46" s="644">
        <v>-2907.3666486616121</v>
      </c>
      <c r="N46" s="646">
        <f t="shared" si="8"/>
        <v>1884139.96267056</v>
      </c>
      <c r="O46" s="647">
        <f>'[7]Table 5B1_RSD_Orleans'!$K46</f>
        <v>-1029</v>
      </c>
      <c r="P46" s="644">
        <f t="shared" si="6"/>
        <v>1883110.96267056</v>
      </c>
      <c r="Q46" s="636"/>
      <c r="R46" s="636"/>
      <c r="S46" s="637"/>
    </row>
    <row r="47" spans="1:19" ht="30.75" customHeight="1">
      <c r="A47" s="641">
        <v>398001</v>
      </c>
      <c r="B47" s="642" t="s">
        <v>520</v>
      </c>
      <c r="C47" s="643">
        <f>'[4]Table 8   2-1-10 Membership'!U143</f>
        <v>351</v>
      </c>
      <c r="D47" s="644">
        <f t="shared" si="1"/>
        <v>3252.0270959716217</v>
      </c>
      <c r="E47" s="644">
        <f t="shared" si="2"/>
        <v>1141462</v>
      </c>
      <c r="F47" s="626">
        <v>643.94778836855926</v>
      </c>
      <c r="G47" s="626">
        <f t="shared" si="3"/>
        <v>226025.67371736429</v>
      </c>
      <c r="H47" s="627">
        <f t="shared" si="7"/>
        <v>1367487.6737173642</v>
      </c>
      <c r="I47" s="627">
        <f>'October midyear adj'!K179</f>
        <v>494788.81031120301</v>
      </c>
      <c r="J47" s="627">
        <f>'February midyear adj '!K183</f>
        <v>5843.9623265102719</v>
      </c>
      <c r="K47" s="627">
        <f t="shared" si="4"/>
        <v>500632.77263771329</v>
      </c>
      <c r="L47" s="627">
        <f t="shared" si="5"/>
        <v>1868120.4463550774</v>
      </c>
      <c r="M47" s="644">
        <v>0</v>
      </c>
      <c r="N47" s="646">
        <f t="shared" si="8"/>
        <v>1868120.4463550774</v>
      </c>
      <c r="O47" s="647">
        <f>'[7]Table 5B1_RSD_Orleans'!$K47</f>
        <v>-869</v>
      </c>
      <c r="P47" s="644">
        <f t="shared" si="6"/>
        <v>1867251.4463550774</v>
      </c>
      <c r="Q47" s="636"/>
      <c r="R47" s="636"/>
      <c r="S47" s="637"/>
    </row>
    <row r="48" spans="1:19" ht="30.75" customHeight="1">
      <c r="A48" s="641">
        <v>398002</v>
      </c>
      <c r="B48" s="642" t="s">
        <v>521</v>
      </c>
      <c r="C48" s="643">
        <f>'[4]Table 8   2-1-10 Membership'!U144</f>
        <v>462</v>
      </c>
      <c r="D48" s="644">
        <f t="shared" si="1"/>
        <v>3252.0270959716217</v>
      </c>
      <c r="E48" s="644">
        <f t="shared" si="2"/>
        <v>1502437</v>
      </c>
      <c r="F48" s="626">
        <v>724.79250196607131</v>
      </c>
      <c r="G48" s="626">
        <f t="shared" si="3"/>
        <v>334854.13590832497</v>
      </c>
      <c r="H48" s="627">
        <f t="shared" si="7"/>
        <v>1837291.135908325</v>
      </c>
      <c r="I48" s="627">
        <f>'October midyear adj'!K180</f>
        <v>377797.86180408084</v>
      </c>
      <c r="J48" s="627">
        <f>'February midyear adj '!K184</f>
        <v>-1988.4097989688466</v>
      </c>
      <c r="K48" s="627">
        <f t="shared" si="4"/>
        <v>375809.45200511196</v>
      </c>
      <c r="L48" s="627">
        <f t="shared" si="5"/>
        <v>2213100.5879134368</v>
      </c>
      <c r="M48" s="644">
        <v>-54866.764962824724</v>
      </c>
      <c r="N48" s="646">
        <f t="shared" si="8"/>
        <v>2158233.8229506123</v>
      </c>
      <c r="O48" s="647">
        <f>'[7]Table 5B1_RSD_Orleans'!$K48</f>
        <v>-1178</v>
      </c>
      <c r="P48" s="644">
        <f t="shared" si="6"/>
        <v>2157055.8229506123</v>
      </c>
      <c r="Q48" s="636"/>
      <c r="R48" s="636"/>
      <c r="S48" s="637"/>
    </row>
    <row r="49" spans="1:19" ht="30.75" customHeight="1">
      <c r="A49" s="641">
        <v>398003</v>
      </c>
      <c r="B49" s="642" t="s">
        <v>522</v>
      </c>
      <c r="C49" s="643">
        <f>'[4]Table 8   2-1-10 Membership'!U145</f>
        <v>379</v>
      </c>
      <c r="D49" s="644">
        <f t="shared" si="1"/>
        <v>3252.0270959716217</v>
      </c>
      <c r="E49" s="644">
        <f t="shared" si="2"/>
        <v>1232518</v>
      </c>
      <c r="F49" s="626">
        <v>592.5310423197493</v>
      </c>
      <c r="G49" s="626">
        <f t="shared" si="3"/>
        <v>224569.26503918497</v>
      </c>
      <c r="H49" s="627">
        <f t="shared" si="7"/>
        <v>1457087.2650391851</v>
      </c>
      <c r="I49" s="627">
        <f>'October midyear adj'!K181</f>
        <v>69202.046489244676</v>
      </c>
      <c r="J49" s="627">
        <f>'February midyear adj '!K185</f>
        <v>-19222.790691456856</v>
      </c>
      <c r="K49" s="627">
        <f t="shared" si="4"/>
        <v>49979.255797787817</v>
      </c>
      <c r="L49" s="627">
        <f t="shared" si="5"/>
        <v>1507066.5208369731</v>
      </c>
      <c r="M49" s="644">
        <v>0</v>
      </c>
      <c r="N49" s="646">
        <f t="shared" si="8"/>
        <v>1507066.5208369731</v>
      </c>
      <c r="O49" s="647">
        <f>'[7]Table 5B1_RSD_Orleans'!$K49</f>
        <v>-940</v>
      </c>
      <c r="P49" s="644">
        <f t="shared" si="6"/>
        <v>1506126.5208369731</v>
      </c>
      <c r="Q49" s="636"/>
      <c r="R49" s="636"/>
      <c r="S49" s="637"/>
    </row>
    <row r="50" spans="1:19" ht="30.75" customHeight="1">
      <c r="A50" s="641">
        <v>398004</v>
      </c>
      <c r="B50" s="642" t="s">
        <v>523</v>
      </c>
      <c r="C50" s="643">
        <f>'[4]Table 8   2-1-10 Membership'!U146</f>
        <v>301</v>
      </c>
      <c r="D50" s="644">
        <f t="shared" si="1"/>
        <v>3252.0270959716217</v>
      </c>
      <c r="E50" s="644">
        <f t="shared" si="2"/>
        <v>978860</v>
      </c>
      <c r="F50" s="626">
        <v>741.31578947368428</v>
      </c>
      <c r="G50" s="626">
        <f t="shared" si="3"/>
        <v>223136.05263157896</v>
      </c>
      <c r="H50" s="627">
        <f t="shared" si="7"/>
        <v>1201996.0526315789</v>
      </c>
      <c r="I50" s="627">
        <f>'October midyear adj'!K182</f>
        <v>479201.14625343669</v>
      </c>
      <c r="J50" s="627">
        <f>'February midyear adj '!K186</f>
        <v>-9983.3572136132643</v>
      </c>
      <c r="K50" s="627">
        <f t="shared" si="4"/>
        <v>469217.7890398234</v>
      </c>
      <c r="L50" s="627">
        <f t="shared" si="5"/>
        <v>1671213.8416714023</v>
      </c>
      <c r="M50" s="644">
        <v>-3935.5779277093825</v>
      </c>
      <c r="N50" s="646">
        <f t="shared" si="8"/>
        <v>1667278.263743693</v>
      </c>
      <c r="O50" s="647">
        <f>'[7]Table 5B1_RSD_Orleans'!$K50</f>
        <v>-768</v>
      </c>
      <c r="P50" s="644">
        <f t="shared" si="6"/>
        <v>1666510.263743693</v>
      </c>
      <c r="Q50" s="636"/>
      <c r="R50" s="636"/>
      <c r="S50" s="637"/>
    </row>
    <row r="51" spans="1:19" ht="30.75" customHeight="1">
      <c r="A51" s="651">
        <v>398005</v>
      </c>
      <c r="B51" s="652" t="s">
        <v>524</v>
      </c>
      <c r="C51" s="643">
        <f>'[4]Table 8   2-1-10 Membership'!U147</f>
        <v>141</v>
      </c>
      <c r="D51" s="644">
        <f t="shared" si="1"/>
        <v>3252.0270959716217</v>
      </c>
      <c r="E51" s="644">
        <f t="shared" si="2"/>
        <v>458536</v>
      </c>
      <c r="F51" s="626">
        <v>746.0335616438357</v>
      </c>
      <c r="G51" s="626">
        <f t="shared" si="3"/>
        <v>105190.73219178083</v>
      </c>
      <c r="H51" s="627">
        <f t="shared" si="7"/>
        <v>563726.73219178081</v>
      </c>
      <c r="I51" s="627">
        <f>'October midyear adj'!K183</f>
        <v>619699.40193039586</v>
      </c>
      <c r="J51" s="627">
        <f>'February midyear adj '!K187</f>
        <v>-49975.758220193216</v>
      </c>
      <c r="K51" s="627">
        <f t="shared" si="4"/>
        <v>569723.64371020265</v>
      </c>
      <c r="L51" s="627">
        <f t="shared" si="5"/>
        <v>1133450.3759019834</v>
      </c>
      <c r="M51" s="644">
        <v>-3940.2956998795344</v>
      </c>
      <c r="N51" s="646">
        <f t="shared" si="8"/>
        <v>1129510.0802021038</v>
      </c>
      <c r="O51" s="647">
        <f>'[7]Table 5B1_RSD_Orleans'!$K51</f>
        <v>-361</v>
      </c>
      <c r="P51" s="644">
        <f t="shared" si="6"/>
        <v>1129149.0802021038</v>
      </c>
      <c r="Q51" s="636"/>
      <c r="R51" s="636"/>
      <c r="S51" s="637"/>
    </row>
    <row r="52" spans="1:19" ht="30.75" customHeight="1">
      <c r="A52" s="651">
        <v>398006</v>
      </c>
      <c r="B52" s="652" t="s">
        <v>525</v>
      </c>
      <c r="C52" s="643">
        <f>'[4]Table 8   2-1-10 Membership'!U148</f>
        <v>105</v>
      </c>
      <c r="D52" s="644">
        <f t="shared" si="1"/>
        <v>3252.0270959716217</v>
      </c>
      <c r="E52" s="644">
        <f t="shared" si="2"/>
        <v>341463</v>
      </c>
      <c r="F52" s="626">
        <v>746.0335616438357</v>
      </c>
      <c r="G52" s="626">
        <f t="shared" si="3"/>
        <v>78333.52397260275</v>
      </c>
      <c r="H52" s="627">
        <f t="shared" si="7"/>
        <v>419796.52397260274</v>
      </c>
      <c r="I52" s="627">
        <f>'October midyear adj'!K184</f>
        <v>831596.61678401509</v>
      </c>
      <c r="J52" s="627">
        <f>'February midyear adj '!K188</f>
        <v>-7996.1213152309147</v>
      </c>
      <c r="K52" s="627">
        <f t="shared" si="4"/>
        <v>823600.49546878412</v>
      </c>
      <c r="L52" s="627">
        <f t="shared" si="5"/>
        <v>1243397.0194413869</v>
      </c>
      <c r="M52" s="644">
        <v>0</v>
      </c>
      <c r="N52" s="646">
        <f t="shared" si="8"/>
        <v>1243397.0194413869</v>
      </c>
      <c r="O52" s="647">
        <f>'[7]Table 5B1_RSD_Orleans'!$K52</f>
        <v>-274</v>
      </c>
      <c r="P52" s="644">
        <f t="shared" si="6"/>
        <v>1243123.0194413869</v>
      </c>
      <c r="Q52" s="636"/>
      <c r="R52" s="636"/>
      <c r="S52" s="637"/>
    </row>
    <row r="53" spans="1:19" ht="30.75" customHeight="1">
      <c r="A53" s="651">
        <v>399001</v>
      </c>
      <c r="B53" s="652" t="s">
        <v>526</v>
      </c>
      <c r="C53" s="643">
        <f>'[4]Table 8   2-1-10 Membership'!U149</f>
        <v>492</v>
      </c>
      <c r="D53" s="644">
        <f t="shared" si="1"/>
        <v>3252.0270959716217</v>
      </c>
      <c r="E53" s="644">
        <f t="shared" si="2"/>
        <v>1599997</v>
      </c>
      <c r="F53" s="626">
        <v>752.85062142702634</v>
      </c>
      <c r="G53" s="626">
        <f t="shared" si="3"/>
        <v>370402.50574209698</v>
      </c>
      <c r="H53" s="627">
        <f t="shared" si="7"/>
        <v>1970399.505742097</v>
      </c>
      <c r="I53" s="627">
        <f>'October midyear adj'!K185</f>
        <v>104126.82065236486</v>
      </c>
      <c r="J53" s="627">
        <f>'February midyear adj '!K189</f>
        <v>-6007.3165760979718</v>
      </c>
      <c r="K53" s="627">
        <f t="shared" si="4"/>
        <v>98119.50407626688</v>
      </c>
      <c r="L53" s="627">
        <f t="shared" si="5"/>
        <v>2068519.0098183639</v>
      </c>
      <c r="M53" s="644">
        <v>0</v>
      </c>
      <c r="N53" s="646">
        <f t="shared" si="8"/>
        <v>2068519.0098183639</v>
      </c>
      <c r="O53" s="647">
        <f>'[7]Table 5B1_RSD_Orleans'!$K53</f>
        <v>-1248</v>
      </c>
      <c r="P53" s="644">
        <f t="shared" si="6"/>
        <v>2067271.0098183639</v>
      </c>
      <c r="Q53" s="636"/>
      <c r="R53" s="636"/>
      <c r="S53" s="637"/>
    </row>
    <row r="54" spans="1:19" ht="30.75" customHeight="1">
      <c r="A54" s="641">
        <v>399002</v>
      </c>
      <c r="B54" s="642" t="s">
        <v>527</v>
      </c>
      <c r="C54" s="653">
        <f>'[4]Table 8   2-1-10 Membership'!U150</f>
        <v>318</v>
      </c>
      <c r="D54" s="644">
        <f t="shared" si="1"/>
        <v>3252.0270959716217</v>
      </c>
      <c r="E54" s="644">
        <f t="shared" si="2"/>
        <v>1034145</v>
      </c>
      <c r="F54" s="626">
        <v>803.97152919927748</v>
      </c>
      <c r="G54" s="626">
        <f t="shared" si="3"/>
        <v>255662.94628537024</v>
      </c>
      <c r="H54" s="627">
        <f t="shared" si="7"/>
        <v>1289807.9462853703</v>
      </c>
      <c r="I54" s="627">
        <f>'October midyear adj'!K186</f>
        <v>438047.85151845712</v>
      </c>
      <c r="J54" s="627">
        <f>'February midyear adj '!K190</f>
        <v>-10139.996562927248</v>
      </c>
      <c r="K54" s="627">
        <f t="shared" si="4"/>
        <v>427907.85495552985</v>
      </c>
      <c r="L54" s="627">
        <f t="shared" si="5"/>
        <v>1717715.8012409001</v>
      </c>
      <c r="M54" s="644">
        <v>0</v>
      </c>
      <c r="N54" s="646">
        <f t="shared" si="8"/>
        <v>1717715.8012409001</v>
      </c>
      <c r="O54" s="647">
        <f>'[7]Table 5B1_RSD_Orleans'!$K54</f>
        <v>-830</v>
      </c>
      <c r="P54" s="644">
        <f t="shared" si="6"/>
        <v>1716885.8012409001</v>
      </c>
      <c r="Q54" s="636"/>
      <c r="R54" s="636"/>
      <c r="S54" s="637"/>
    </row>
    <row r="55" spans="1:19" ht="30.75" customHeight="1">
      <c r="A55" s="651">
        <v>399004</v>
      </c>
      <c r="B55" s="652" t="s">
        <v>528</v>
      </c>
      <c r="C55" s="653">
        <f>'[4]Table 8   2-1-10 Membership'!U151</f>
        <v>414</v>
      </c>
      <c r="D55" s="644">
        <f t="shared" si="1"/>
        <v>3252.0270959716217</v>
      </c>
      <c r="E55" s="644">
        <f>ROUND(C55*D55,0)</f>
        <v>1346339</v>
      </c>
      <c r="F55" s="626">
        <v>746.0335616438357</v>
      </c>
      <c r="G55" s="626">
        <f t="shared" si="3"/>
        <v>308857.894520548</v>
      </c>
      <c r="H55" s="627">
        <f t="shared" si="7"/>
        <v>1655196.8945205479</v>
      </c>
      <c r="I55" s="627">
        <f>'October midyear adj'!K188</f>
        <v>27986.424603308202</v>
      </c>
      <c r="J55" s="627">
        <f>'February midyear adj '!K192</f>
        <v>7996.1213152309147</v>
      </c>
      <c r="K55" s="627">
        <f t="shared" si="4"/>
        <v>35982.545918539116</v>
      </c>
      <c r="L55" s="627">
        <f t="shared" si="5"/>
        <v>1691179.4404390871</v>
      </c>
      <c r="M55" s="644">
        <v>0</v>
      </c>
      <c r="N55" s="646">
        <f t="shared" si="8"/>
        <v>1691179.4404390871</v>
      </c>
      <c r="O55" s="647">
        <f>'[7]Table 5B1_RSD_Orleans'!$K55</f>
        <v>-1037</v>
      </c>
      <c r="P55" s="644">
        <f t="shared" si="6"/>
        <v>1690142.4404390871</v>
      </c>
      <c r="Q55" s="636"/>
      <c r="R55" s="636"/>
      <c r="S55" s="637"/>
    </row>
    <row r="56" spans="1:19" ht="30.75" customHeight="1">
      <c r="A56" s="654">
        <v>399003</v>
      </c>
      <c r="B56" s="655" t="s">
        <v>529</v>
      </c>
      <c r="C56" s="656">
        <v>371</v>
      </c>
      <c r="D56" s="644">
        <f t="shared" si="1"/>
        <v>3252.0270959716217</v>
      </c>
      <c r="E56" s="644">
        <f t="shared" ref="E56:E61" si="9">ROUND(C56*D56,0)</f>
        <v>1206502</v>
      </c>
      <c r="F56" s="626">
        <v>746.0335616438357</v>
      </c>
      <c r="G56" s="626">
        <f t="shared" si="3"/>
        <v>276778.45136986306</v>
      </c>
      <c r="H56" s="627">
        <f t="shared" si="7"/>
        <v>1483280.451369863</v>
      </c>
      <c r="I56" s="627">
        <f>'October midyear adj'!K187</f>
        <v>259873.94274500472</v>
      </c>
      <c r="J56" s="627">
        <f>'February midyear adj '!K191</f>
        <v>-101950.54676919416</v>
      </c>
      <c r="K56" s="627">
        <f t="shared" si="4"/>
        <v>157923.39597581056</v>
      </c>
      <c r="L56" s="627">
        <f t="shared" si="5"/>
        <v>1641203.8473456737</v>
      </c>
      <c r="M56" s="644">
        <v>0</v>
      </c>
      <c r="N56" s="646">
        <f t="shared" si="8"/>
        <v>1641203.8473456737</v>
      </c>
      <c r="O56" s="647">
        <f>'[7]Table 5B1_RSD_Orleans'!$K56</f>
        <v>0</v>
      </c>
      <c r="P56" s="644">
        <f t="shared" si="6"/>
        <v>1641203.8473456737</v>
      </c>
      <c r="Q56" s="636"/>
      <c r="R56" s="636"/>
      <c r="S56" s="637"/>
    </row>
    <row r="57" spans="1:19" ht="30.75" customHeight="1">
      <c r="A57" s="654">
        <v>363001</v>
      </c>
      <c r="B57" s="655" t="s">
        <v>530</v>
      </c>
      <c r="C57" s="656">
        <v>442</v>
      </c>
      <c r="D57" s="644">
        <f t="shared" si="1"/>
        <v>3252.0270959716217</v>
      </c>
      <c r="E57" s="644">
        <f t="shared" si="9"/>
        <v>1437396</v>
      </c>
      <c r="F57" s="626">
        <v>746.0335616438357</v>
      </c>
      <c r="G57" s="626">
        <f t="shared" si="3"/>
        <v>329746.83424657537</v>
      </c>
      <c r="H57" s="627">
        <f t="shared" si="7"/>
        <v>1767142.8342465754</v>
      </c>
      <c r="I57" s="627">
        <f>'October midyear adj'!K143</f>
        <v>311848.73129400564</v>
      </c>
      <c r="J57" s="627">
        <f>'February midyear adj '!K147</f>
        <v>53973.818877808677</v>
      </c>
      <c r="K57" s="627">
        <f t="shared" si="4"/>
        <v>365822.55017181434</v>
      </c>
      <c r="L57" s="627">
        <f t="shared" si="5"/>
        <v>2132965.3844183898</v>
      </c>
      <c r="M57" s="644">
        <v>0</v>
      </c>
      <c r="N57" s="646">
        <f t="shared" si="8"/>
        <v>2132965.3844183898</v>
      </c>
      <c r="O57" s="647">
        <f>'[7]Table 5B1_RSD_Orleans'!$K57</f>
        <v>-1131</v>
      </c>
      <c r="P57" s="644">
        <f t="shared" si="6"/>
        <v>2131834.3844183898</v>
      </c>
      <c r="Q57" s="636"/>
      <c r="R57" s="636"/>
      <c r="S57" s="637"/>
    </row>
    <row r="58" spans="1:19" ht="30.75" customHeight="1">
      <c r="A58" s="654">
        <v>364001</v>
      </c>
      <c r="B58" s="655" t="s">
        <v>531</v>
      </c>
      <c r="C58" s="656">
        <v>458</v>
      </c>
      <c r="D58" s="644">
        <f t="shared" si="1"/>
        <v>3252.0270959716217</v>
      </c>
      <c r="E58" s="644">
        <f t="shared" si="9"/>
        <v>1489428</v>
      </c>
      <c r="F58" s="626">
        <v>746.0335616438357</v>
      </c>
      <c r="G58" s="626">
        <f t="shared" si="3"/>
        <v>341683.37123287673</v>
      </c>
      <c r="H58" s="627">
        <f t="shared" si="7"/>
        <v>1831111.3712328768</v>
      </c>
      <c r="I58" s="627">
        <f>'October midyear adj'!K144</f>
        <v>23988.363945692745</v>
      </c>
      <c r="J58" s="627">
        <f>'February midyear adj '!K148</f>
        <v>-3998.0606576154573</v>
      </c>
      <c r="K58" s="627">
        <f t="shared" si="4"/>
        <v>19990.303288077288</v>
      </c>
      <c r="L58" s="627">
        <f t="shared" si="5"/>
        <v>1851101.674520954</v>
      </c>
      <c r="M58" s="644">
        <v>0</v>
      </c>
      <c r="N58" s="646">
        <f t="shared" si="8"/>
        <v>1851101.674520954</v>
      </c>
      <c r="O58" s="647">
        <f>'[7]Table 5B1_RSD_Orleans'!$K58</f>
        <v>0</v>
      </c>
      <c r="P58" s="644">
        <f t="shared" si="6"/>
        <v>1851101.674520954</v>
      </c>
      <c r="Q58" s="636"/>
      <c r="R58" s="636"/>
      <c r="S58" s="637"/>
    </row>
    <row r="59" spans="1:19" ht="30.75" customHeight="1">
      <c r="A59" s="654">
        <v>369004</v>
      </c>
      <c r="B59" s="655" t="s">
        <v>532</v>
      </c>
      <c r="C59" s="656">
        <v>150</v>
      </c>
      <c r="D59" s="644">
        <f t="shared" si="1"/>
        <v>3252.0270959716217</v>
      </c>
      <c r="E59" s="644">
        <f t="shared" si="9"/>
        <v>487804</v>
      </c>
      <c r="F59" s="626">
        <v>746.0335616438357</v>
      </c>
      <c r="G59" s="626">
        <f t="shared" si="3"/>
        <v>111905.03424657535</v>
      </c>
      <c r="H59" s="627">
        <f t="shared" si="7"/>
        <v>599709.03424657532</v>
      </c>
      <c r="I59" s="627">
        <f>'October midyear adj'!K151</f>
        <v>19990.303288077288</v>
      </c>
      <c r="J59" s="627">
        <f>'February midyear adj '!K155</f>
        <v>3998.0606576154573</v>
      </c>
      <c r="K59" s="627">
        <f t="shared" si="4"/>
        <v>23988.363945692745</v>
      </c>
      <c r="L59" s="627">
        <f t="shared" si="5"/>
        <v>623697.39819226798</v>
      </c>
      <c r="M59" s="644">
        <v>0</v>
      </c>
      <c r="N59" s="646">
        <f t="shared" si="8"/>
        <v>623697.39819226798</v>
      </c>
      <c r="O59" s="647">
        <f>'[7]Table 5B1_RSD_Orleans'!$K59</f>
        <v>0</v>
      </c>
      <c r="P59" s="644">
        <f t="shared" si="6"/>
        <v>623697.39819226798</v>
      </c>
      <c r="Q59" s="636"/>
      <c r="R59" s="636"/>
      <c r="S59" s="637"/>
    </row>
    <row r="60" spans="1:19" ht="35.25" customHeight="1">
      <c r="A60" s="654">
        <v>369005</v>
      </c>
      <c r="B60" s="655" t="s">
        <v>533</v>
      </c>
      <c r="C60" s="656">
        <v>150</v>
      </c>
      <c r="D60" s="644">
        <f t="shared" si="1"/>
        <v>3252.0270959716217</v>
      </c>
      <c r="E60" s="644">
        <f t="shared" si="9"/>
        <v>487804</v>
      </c>
      <c r="F60" s="626">
        <v>746.0335616438357</v>
      </c>
      <c r="G60" s="626">
        <f t="shared" si="3"/>
        <v>111905.03424657535</v>
      </c>
      <c r="H60" s="627">
        <f t="shared" si="7"/>
        <v>599709.03424657532</v>
      </c>
      <c r="I60" s="627">
        <f>'October midyear adj'!K152</f>
        <v>-51974.788549000943</v>
      </c>
      <c r="J60" s="627">
        <f>'February midyear adj '!K156</f>
        <v>3998.0606576154573</v>
      </c>
      <c r="K60" s="627">
        <f t="shared" si="4"/>
        <v>-47976.727891385483</v>
      </c>
      <c r="L60" s="627">
        <f t="shared" si="5"/>
        <v>551732.30635518976</v>
      </c>
      <c r="M60" s="644">
        <v>0</v>
      </c>
      <c r="N60" s="646">
        <f t="shared" si="8"/>
        <v>551732.30635518976</v>
      </c>
      <c r="O60" s="647">
        <f>'[7]Table 5B1_RSD_Orleans'!$K60</f>
        <v>0</v>
      </c>
      <c r="P60" s="644">
        <f t="shared" si="6"/>
        <v>551732.30635518976</v>
      </c>
      <c r="Q60" s="636"/>
      <c r="R60" s="636"/>
      <c r="S60" s="637"/>
    </row>
    <row r="61" spans="1:19" ht="35.25" customHeight="1">
      <c r="A61" s="654">
        <v>369003</v>
      </c>
      <c r="B61" s="655" t="s">
        <v>534</v>
      </c>
      <c r="C61" s="656">
        <v>543</v>
      </c>
      <c r="D61" s="644">
        <f t="shared" si="1"/>
        <v>3252.0270959716217</v>
      </c>
      <c r="E61" s="644">
        <f t="shared" si="9"/>
        <v>1765851</v>
      </c>
      <c r="F61" s="626">
        <v>746.0335616438357</v>
      </c>
      <c r="G61" s="626">
        <f t="shared" si="3"/>
        <v>405096.22397260281</v>
      </c>
      <c r="H61" s="627">
        <f t="shared" si="7"/>
        <v>2170947.2239726027</v>
      </c>
      <c r="I61" s="627">
        <f>'October midyear adj'!K150</f>
        <v>187908.85090792651</v>
      </c>
      <c r="J61" s="627">
        <f>'February midyear adj '!K154</f>
        <v>-17991.272959269558</v>
      </c>
      <c r="K61" s="627">
        <f t="shared" si="4"/>
        <v>169917.57794865695</v>
      </c>
      <c r="L61" s="627">
        <f t="shared" si="5"/>
        <v>2340864.8019212596</v>
      </c>
      <c r="M61" s="644">
        <v>0</v>
      </c>
      <c r="N61" s="646">
        <f t="shared" si="8"/>
        <v>2340864.8019212596</v>
      </c>
      <c r="O61" s="647">
        <f>'[7]Table 5B1_RSD_Orleans'!$K61</f>
        <v>0</v>
      </c>
      <c r="P61" s="644">
        <f t="shared" si="6"/>
        <v>2340864.8019212596</v>
      </c>
      <c r="Q61" s="636"/>
      <c r="R61" s="636"/>
      <c r="S61" s="637"/>
    </row>
    <row r="62" spans="1:19" s="532" customFormat="1" ht="15.75">
      <c r="A62" s="593"/>
      <c r="B62" s="639" t="s">
        <v>535</v>
      </c>
      <c r="C62" s="657">
        <f>SUM(C11:C61)</f>
        <v>20708</v>
      </c>
      <c r="D62" s="658"/>
      <c r="E62" s="657">
        <f>SUM(E11:E61)</f>
        <v>67342979</v>
      </c>
      <c r="F62" s="657"/>
      <c r="G62" s="659">
        <f t="shared" ref="G62:P62" si="10">SUM(G11:G61)</f>
        <v>14997939.504279468</v>
      </c>
      <c r="H62" s="660">
        <f t="shared" si="10"/>
        <v>82340918.504279479</v>
      </c>
      <c r="I62" s="661">
        <f t="shared" si="10"/>
        <v>9324366.4886466134</v>
      </c>
      <c r="J62" s="661">
        <f t="shared" si="10"/>
        <v>-516333.35165457777</v>
      </c>
      <c r="K62" s="662">
        <f>SUM(K11:K61)</f>
        <v>8808033.1369920354</v>
      </c>
      <c r="L62" s="662">
        <f>SUM(L11:L61)</f>
        <v>91148951.641271546</v>
      </c>
      <c r="M62" s="663">
        <f t="shared" si="10"/>
        <v>-321742.88158172474</v>
      </c>
      <c r="N62" s="664">
        <f t="shared" si="10"/>
        <v>90827208.759689808</v>
      </c>
      <c r="O62" s="665">
        <f t="shared" si="10"/>
        <v>-47786.942369841345</v>
      </c>
      <c r="P62" s="665">
        <f t="shared" si="10"/>
        <v>90779421.817319974</v>
      </c>
      <c r="Q62" s="636"/>
      <c r="R62" s="666"/>
      <c r="S62" s="667"/>
    </row>
    <row r="63" spans="1:19" s="532" customFormat="1" ht="31.5">
      <c r="A63" s="593"/>
      <c r="B63" s="639" t="s">
        <v>536</v>
      </c>
      <c r="C63" s="657">
        <f>C62+C8</f>
        <v>27022</v>
      </c>
      <c r="D63" s="658"/>
      <c r="E63" s="657">
        <f>E62+E8</f>
        <v>87876278</v>
      </c>
      <c r="F63" s="657"/>
      <c r="G63" s="659">
        <f t="shared" ref="G63:P63" si="11">G62+G8</f>
        <v>20030528.641146325</v>
      </c>
      <c r="H63" s="660">
        <f t="shared" si="11"/>
        <v>107906806.64114633</v>
      </c>
      <c r="I63" s="661">
        <f t="shared" ref="I63:J63" si="12">I8+I62</f>
        <v>5785470.9699568953</v>
      </c>
      <c r="J63" s="661">
        <f t="shared" si="12"/>
        <v>-210627.84632154147</v>
      </c>
      <c r="K63" s="662">
        <f>K8+K62</f>
        <v>5574843.1236353535</v>
      </c>
      <c r="L63" s="662">
        <f>L8+L62</f>
        <v>113481649.76478171</v>
      </c>
      <c r="M63" s="663">
        <f t="shared" si="11"/>
        <v>-1294935.8815817246</v>
      </c>
      <c r="N63" s="664">
        <f t="shared" si="11"/>
        <v>112186713.88319997</v>
      </c>
      <c r="O63" s="665">
        <f t="shared" si="11"/>
        <v>-69097.942369841345</v>
      </c>
      <c r="P63" s="668">
        <f t="shared" si="11"/>
        <v>112117615.94083014</v>
      </c>
      <c r="Q63" s="636"/>
      <c r="R63" s="666"/>
      <c r="S63" s="667"/>
    </row>
    <row r="64" spans="1:19" ht="8.25" customHeight="1">
      <c r="A64" s="669"/>
      <c r="B64" s="670"/>
      <c r="C64" s="671"/>
      <c r="D64" s="672"/>
      <c r="E64" s="673"/>
      <c r="F64" s="673"/>
      <c r="G64" s="673"/>
      <c r="H64" s="673"/>
      <c r="I64" s="673"/>
      <c r="J64" s="673"/>
      <c r="K64" s="673"/>
      <c r="L64" s="673"/>
      <c r="M64" s="673"/>
      <c r="N64" s="673"/>
      <c r="O64" s="673"/>
      <c r="P64" s="674"/>
      <c r="Q64" s="636"/>
      <c r="R64" s="636"/>
      <c r="S64" s="637"/>
    </row>
    <row r="65" spans="1:19" ht="16.5" thickBot="1">
      <c r="A65" s="675"/>
      <c r="B65" s="676" t="s">
        <v>537</v>
      </c>
      <c r="C65" s="677">
        <f>C63+C6</f>
        <v>37237</v>
      </c>
      <c r="D65" s="678"/>
      <c r="E65" s="679">
        <f>E63+E6</f>
        <v>121095735</v>
      </c>
      <c r="F65" s="679"/>
      <c r="G65" s="679">
        <f>G63+G6</f>
        <v>27459201.247691441</v>
      </c>
      <c r="H65" s="680">
        <f>H63+H6</f>
        <v>148554936.24769145</v>
      </c>
      <c r="I65" s="680">
        <f t="shared" ref="I65:J65" si="13">I63+I6</f>
        <v>7564199.6863716943</v>
      </c>
      <c r="J65" s="681">
        <f t="shared" si="13"/>
        <v>-246441.17618224211</v>
      </c>
      <c r="K65" s="680">
        <f>K63+K6</f>
        <v>7317758.5101894513</v>
      </c>
      <c r="L65" s="680">
        <f>L63+L6</f>
        <v>155872694.75788093</v>
      </c>
      <c r="M65" s="682"/>
      <c r="N65" s="682"/>
      <c r="O65" s="683">
        <f>O63+O6</f>
        <v>-95156.942369841345</v>
      </c>
      <c r="P65" s="684"/>
      <c r="Q65" s="636"/>
      <c r="R65" s="636"/>
      <c r="S65" s="637"/>
    </row>
    <row r="66" spans="1:19" ht="13.5" thickTop="1">
      <c r="A66" s="685"/>
      <c r="B66" s="685"/>
      <c r="C66" s="686"/>
      <c r="D66" s="687"/>
      <c r="E66" s="688"/>
      <c r="F66" s="688"/>
      <c r="G66" s="688"/>
      <c r="H66" s="688"/>
      <c r="I66" s="688"/>
      <c r="J66" s="688"/>
      <c r="K66" s="688"/>
      <c r="L66" s="688"/>
      <c r="M66" s="689"/>
      <c r="N66" s="690"/>
      <c r="O66" s="690"/>
      <c r="P66" s="688"/>
      <c r="Q66" s="636"/>
      <c r="R66" s="636"/>
      <c r="S66" s="637"/>
    </row>
    <row r="67" spans="1:19" ht="27.75" customHeight="1">
      <c r="B67" s="1722" t="s">
        <v>538</v>
      </c>
      <c r="C67" s="1722"/>
      <c r="D67" s="1722"/>
      <c r="E67" s="1722"/>
      <c r="F67" s="1722"/>
      <c r="G67" s="1722"/>
      <c r="H67" s="1722"/>
      <c r="I67" s="691"/>
      <c r="J67" s="691"/>
      <c r="K67" s="691"/>
      <c r="L67" s="691"/>
      <c r="M67" s="1723"/>
      <c r="N67" s="1723"/>
      <c r="O67" s="1723"/>
      <c r="P67" s="1723"/>
      <c r="Q67" s="692"/>
      <c r="R67" s="692"/>
      <c r="S67" s="693"/>
    </row>
    <row r="68" spans="1:19" ht="24.75" customHeight="1">
      <c r="B68" s="1722" t="s">
        <v>539</v>
      </c>
      <c r="C68" s="1722"/>
      <c r="D68" s="1722"/>
      <c r="E68" s="1722"/>
      <c r="F68" s="1722"/>
      <c r="G68" s="1722"/>
      <c r="H68" s="1722"/>
    </row>
    <row r="69" spans="1:19" s="1478" customFormat="1" hidden="1"/>
    <row r="70" spans="1:19" s="1478" customFormat="1" ht="17.25" hidden="1" customHeight="1">
      <c r="B70" s="1478" t="s">
        <v>540</v>
      </c>
      <c r="F70" s="1503">
        <v>746.0335616438357</v>
      </c>
    </row>
    <row r="71" spans="1:19" s="1478" customFormat="1" hidden="1"/>
    <row r="72" spans="1:19" s="1478" customFormat="1" hidden="1"/>
    <row r="73" spans="1:19" s="1478" customFormat="1" hidden="1">
      <c r="B73" s="1478" t="s">
        <v>541</v>
      </c>
      <c r="C73" s="1478">
        <v>258</v>
      </c>
    </row>
    <row r="74" spans="1:19" s="1478" customFormat="1" hidden="1"/>
    <row r="75" spans="1:19" s="1478" customFormat="1" hidden="1"/>
  </sheetData>
  <mergeCells count="22">
    <mergeCell ref="F2:G2"/>
    <mergeCell ref="I2:K2"/>
    <mergeCell ref="A3:A4"/>
    <mergeCell ref="B3:B4"/>
    <mergeCell ref="C3:C4"/>
    <mergeCell ref="E3:E4"/>
    <mergeCell ref="F3:F4"/>
    <mergeCell ref="G3:G4"/>
    <mergeCell ref="H3:H4"/>
    <mergeCell ref="I3:I4"/>
    <mergeCell ref="B68:H68"/>
    <mergeCell ref="J3:J4"/>
    <mergeCell ref="K3:K4"/>
    <mergeCell ref="L3:L4"/>
    <mergeCell ref="M3:M4"/>
    <mergeCell ref="P3:P4"/>
    <mergeCell ref="B7:P7"/>
    <mergeCell ref="B9:P9"/>
    <mergeCell ref="B67:H67"/>
    <mergeCell ref="M67:P67"/>
    <mergeCell ref="N3:N4"/>
    <mergeCell ref="O3:O4"/>
  </mergeCells>
  <printOptions horizontalCentered="1"/>
  <pageMargins left="0.2" right="0.2" top="1.0900000000000001" bottom="0.77" header="0.32" footer="0.19"/>
  <pageSetup paperSize="5" scale="43" firstPageNumber="20" fitToHeight="2" orientation="portrait" useFirstPageNumber="1" r:id="rId1"/>
  <headerFooter alignWithMargins="0">
    <oddHeader xml:space="preserve">&amp;L&amp;"Arial,Bold"&amp;22Table 5B-1:  FY2011-12 MFP Budget Letter  
Recovery School District (Orleans Parish) (March 2012)
&amp;R
</oddHeader>
    <oddFooter>&amp;L&amp;14*FY2010-11 is the first year of operation
&amp;R&amp;16&amp;P</oddFooter>
  </headerFooter>
  <colBreaks count="1" manualBreakCount="1">
    <brk id="12" min="1" max="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38</vt:i4>
      </vt:variant>
    </vt:vector>
  </HeadingPairs>
  <TitlesOfParts>
    <vt:vector size="64" baseType="lpstr">
      <vt:lpstr>Table 1 State Summary </vt:lpstr>
      <vt:lpstr>Table 2 Distributions &amp; Adjust</vt:lpstr>
      <vt:lpstr>Table 2A-1 EFTs- Monthly</vt:lpstr>
      <vt:lpstr>Table 2A-2 EFTs- Annual</vt:lpstr>
      <vt:lpstr>Table 3 Levels 1&amp;2</vt:lpstr>
      <vt:lpstr>Table 4 Level 3</vt:lpstr>
      <vt:lpstr>Table 4A Stipends</vt:lpstr>
      <vt:lpstr>Table 5A1 Labs NOCCA LSMSA</vt:lpstr>
      <vt:lpstr>Table 5B1_RSD_Orleans</vt:lpstr>
      <vt:lpstr>Table 5B2_RSD_LA</vt:lpstr>
      <vt:lpstr>Table 5C1 - Type 2s</vt:lpstr>
      <vt:lpstr>Table 5C2 - LA Virtual Admy </vt:lpstr>
      <vt:lpstr>Table 5C3 - LA Connections  </vt:lpstr>
      <vt:lpstr>Table 5D - Legacy Type 2</vt:lpstr>
      <vt:lpstr>Table 5E_OJJ</vt:lpstr>
      <vt:lpstr>Table 6 (Local Deduct Calc.)</vt:lpstr>
      <vt:lpstr>Table 7 Local Revenue</vt:lpstr>
      <vt:lpstr>Midyear adjustment summary</vt:lpstr>
      <vt:lpstr>October midyear adj</vt:lpstr>
      <vt:lpstr>Oct midyear adj_LA virtual</vt:lpstr>
      <vt:lpstr>Oct midyear adj_Connections</vt:lpstr>
      <vt:lpstr>Oct midyear adj_OJJ</vt:lpstr>
      <vt:lpstr>February midyear adj </vt:lpstr>
      <vt:lpstr>Feb midyear adj_LA virtual </vt:lpstr>
      <vt:lpstr>Feb midyear adj_Connections</vt:lpstr>
      <vt:lpstr>Feb midyear adj_OJJ</vt:lpstr>
      <vt:lpstr>'February midyear adj '!Print_Area</vt:lpstr>
      <vt:lpstr>'Midyear adjustment summary'!Print_Area</vt:lpstr>
      <vt:lpstr>'October midyear adj'!Print_Area</vt:lpstr>
      <vt:lpstr>'Table 1 State Summary '!Print_Area</vt:lpstr>
      <vt:lpstr>'Table 2 Distributions &amp; Adjust'!Print_Area</vt:lpstr>
      <vt:lpstr>'Table 2A-1 EFTs- Monthly'!Print_Area</vt:lpstr>
      <vt:lpstr>'Table 2A-2 EFTs- Annual'!Print_Area</vt:lpstr>
      <vt:lpstr>'Table 3 Levels 1&amp;2'!Print_Area</vt:lpstr>
      <vt:lpstr>'Table 4 Level 3'!Print_Area</vt:lpstr>
      <vt:lpstr>'Table 4A Stipends'!Print_Area</vt:lpstr>
      <vt:lpstr>'Table 5A1 Labs NOCCA LSMSA'!Print_Area</vt:lpstr>
      <vt:lpstr>'Table 5B1_RSD_Orleans'!Print_Area</vt:lpstr>
      <vt:lpstr>'Table 5B2_RSD_LA'!Print_Area</vt:lpstr>
      <vt:lpstr>'Table 5C1 - Type 2s'!Print_Area</vt:lpstr>
      <vt:lpstr>'Table 5C2 - LA Virtual Admy '!Print_Area</vt:lpstr>
      <vt:lpstr>'Table 5C3 - LA Connections  '!Print_Area</vt:lpstr>
      <vt:lpstr>'Table 5D - Legacy Type 2'!Print_Area</vt:lpstr>
      <vt:lpstr>'Table 5E_OJJ'!Print_Area</vt:lpstr>
      <vt:lpstr>'Table 6 (Local Deduct Calc.)'!Print_Area</vt:lpstr>
      <vt:lpstr>'Table 7 Local Revenue'!Print_Area</vt:lpstr>
      <vt:lpstr>'February midyear adj '!Print_Titles</vt:lpstr>
      <vt:lpstr>'Midyear adjustment summary'!Print_Titles</vt:lpstr>
      <vt:lpstr>'October midyear adj'!Print_Titles</vt:lpstr>
      <vt:lpstr>'Table 1 State Summary '!Print_Titles</vt:lpstr>
      <vt:lpstr>'Table 2 Distributions &amp; Adjust'!Print_Titles</vt:lpstr>
      <vt:lpstr>'Table 2A-1 EFTs- Monthly'!Print_Titles</vt:lpstr>
      <vt:lpstr>'Table 2A-2 EFTs- Annual'!Print_Titles</vt:lpstr>
      <vt:lpstr>'Table 3 Levels 1&amp;2'!Print_Titles</vt:lpstr>
      <vt:lpstr>'Table 4 Level 3'!Print_Titles</vt:lpstr>
      <vt:lpstr>'Table 5A1 Labs NOCCA LSMSA'!Print_Titles</vt:lpstr>
      <vt:lpstr>'Table 5B1_RSD_Orleans'!Print_Titles</vt:lpstr>
      <vt:lpstr>'Table 5B2_RSD_LA'!Print_Titles</vt:lpstr>
      <vt:lpstr>'Table 5C1 - Type 2s'!Print_Titles</vt:lpstr>
      <vt:lpstr>'Table 5C2 - LA Virtual Admy '!Print_Titles</vt:lpstr>
      <vt:lpstr>'Table 5C3 - LA Connections  '!Print_Titles</vt:lpstr>
      <vt:lpstr>'Table 5E_OJJ'!Print_Titles</vt:lpstr>
      <vt:lpstr>'Table 6 (Local Deduct Calc.)'!Print_Titles</vt:lpstr>
      <vt:lpstr>'Table 7 Local Revenue'!Print_Titles</vt:lpstr>
    </vt:vector>
  </TitlesOfParts>
  <Company>LDOE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cfulton</dc:creator>
  <cp:lastModifiedBy>ldoe</cp:lastModifiedBy>
  <dcterms:created xsi:type="dcterms:W3CDTF">2012-03-26T15:39:50Z</dcterms:created>
  <dcterms:modified xsi:type="dcterms:W3CDTF">2012-12-19T14:21:18Z</dcterms:modified>
</cp:coreProperties>
</file>