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95" windowHeight="7425"/>
  </bookViews>
  <sheets>
    <sheet name="Revenue by Fund" sheetId="1" r:id="rId1"/>
  </sheets>
  <externalReferences>
    <externalReference r:id="rId2"/>
  </externalReferences>
  <definedNames>
    <definedName name="_xlnm.Print_Area" localSheetId="0">'Revenue by Fund'!$A$1:$O$156</definedName>
    <definedName name="_xlnm.Print_Titles" localSheetId="0">'Revenue by Fund'!$A:$B,'Revenue by Fund'!$1:$2</definedName>
  </definedNames>
  <calcPr calcId="125725"/>
</workbook>
</file>

<file path=xl/calcChain.xml><?xml version="1.0" encoding="utf-8"?>
<calcChain xmlns="http://schemas.openxmlformats.org/spreadsheetml/2006/main">
  <c r="H150" i="1"/>
  <c r="G150"/>
  <c r="F150"/>
  <c r="E150"/>
  <c r="D150"/>
  <c r="C150"/>
  <c r="I149"/>
  <c r="O149" s="1"/>
  <c r="H147"/>
  <c r="G147"/>
  <c r="E147"/>
  <c r="C147"/>
  <c r="I146"/>
  <c r="O146" s="1"/>
  <c r="N145"/>
  <c r="J145"/>
  <c r="I145"/>
  <c r="O145" s="1"/>
  <c r="I144"/>
  <c r="O144" s="1"/>
  <c r="I143"/>
  <c r="O143" s="1"/>
  <c r="I142"/>
  <c r="O142" s="1"/>
  <c r="N141"/>
  <c r="J141"/>
  <c r="I141"/>
  <c r="O141" s="1"/>
  <c r="I140"/>
  <c r="O140" s="1"/>
  <c r="I139"/>
  <c r="O139" s="1"/>
  <c r="I138"/>
  <c r="O138" s="1"/>
  <c r="N137"/>
  <c r="J137"/>
  <c r="I137"/>
  <c r="O137" s="1"/>
  <c r="I136"/>
  <c r="O136" s="1"/>
  <c r="I135"/>
  <c r="O135" s="1"/>
  <c r="I134"/>
  <c r="O134" s="1"/>
  <c r="N133"/>
  <c r="J133"/>
  <c r="I133"/>
  <c r="O133" s="1"/>
  <c r="I132"/>
  <c r="O132" s="1"/>
  <c r="I131"/>
  <c r="O131" s="1"/>
  <c r="I130"/>
  <c r="O130" s="1"/>
  <c r="N129"/>
  <c r="J129"/>
  <c r="I129"/>
  <c r="O129" s="1"/>
  <c r="I128"/>
  <c r="O128" s="1"/>
  <c r="I127"/>
  <c r="O127" s="1"/>
  <c r="I126"/>
  <c r="O126" s="1"/>
  <c r="N125"/>
  <c r="J125"/>
  <c r="I125"/>
  <c r="O125" s="1"/>
  <c r="I124"/>
  <c r="O124" s="1"/>
  <c r="I123"/>
  <c r="O123" s="1"/>
  <c r="F122"/>
  <c r="F147" s="1"/>
  <c r="D122"/>
  <c r="D147" s="1"/>
  <c r="I121"/>
  <c r="O121" s="1"/>
  <c r="I120"/>
  <c r="O120" s="1"/>
  <c r="N119"/>
  <c r="J119"/>
  <c r="I119"/>
  <c r="O119" s="1"/>
  <c r="I118"/>
  <c r="O118" s="1"/>
  <c r="I117"/>
  <c r="O117" s="1"/>
  <c r="I116"/>
  <c r="O116" s="1"/>
  <c r="N115"/>
  <c r="J115"/>
  <c r="I115"/>
  <c r="O115" s="1"/>
  <c r="I114"/>
  <c r="O114" s="1"/>
  <c r="I113"/>
  <c r="O113" s="1"/>
  <c r="I112"/>
  <c r="O112" s="1"/>
  <c r="N111"/>
  <c r="J111"/>
  <c r="I111"/>
  <c r="O111" s="1"/>
  <c r="I110"/>
  <c r="O110" s="1"/>
  <c r="I109"/>
  <c r="O109" s="1"/>
  <c r="I108"/>
  <c r="O108" s="1"/>
  <c r="N107"/>
  <c r="J107"/>
  <c r="I107"/>
  <c r="O107" s="1"/>
  <c r="I106"/>
  <c r="O106" s="1"/>
  <c r="I105"/>
  <c r="O105" s="1"/>
  <c r="I104"/>
  <c r="O104" s="1"/>
  <c r="N103"/>
  <c r="J103"/>
  <c r="I103"/>
  <c r="O103" s="1"/>
  <c r="I102"/>
  <c r="O102" s="1"/>
  <c r="I101"/>
  <c r="O101" s="1"/>
  <c r="I100"/>
  <c r="O100" s="1"/>
  <c r="N99"/>
  <c r="J99"/>
  <c r="I99"/>
  <c r="O99" s="1"/>
  <c r="I98"/>
  <c r="O98" s="1"/>
  <c r="I97"/>
  <c r="O97" s="1"/>
  <c r="I96"/>
  <c r="O96" s="1"/>
  <c r="N95"/>
  <c r="J95"/>
  <c r="I95"/>
  <c r="O95" s="1"/>
  <c r="I94"/>
  <c r="O94" s="1"/>
  <c r="I93"/>
  <c r="N93" s="1"/>
  <c r="H91"/>
  <c r="G91"/>
  <c r="F91"/>
  <c r="E91"/>
  <c r="D91"/>
  <c r="C91"/>
  <c r="I90"/>
  <c r="O90" s="1"/>
  <c r="I89"/>
  <c r="N88"/>
  <c r="J88"/>
  <c r="I88"/>
  <c r="O88" s="1"/>
  <c r="I87"/>
  <c r="I86"/>
  <c r="O86" s="1"/>
  <c r="I85"/>
  <c r="N84"/>
  <c r="J84"/>
  <c r="I84"/>
  <c r="O84" s="1"/>
  <c r="I83"/>
  <c r="I82"/>
  <c r="O82" s="1"/>
  <c r="I81"/>
  <c r="N80"/>
  <c r="J80"/>
  <c r="I80"/>
  <c r="O80" s="1"/>
  <c r="I79"/>
  <c r="K79" s="1"/>
  <c r="H77"/>
  <c r="G77"/>
  <c r="F77"/>
  <c r="E77"/>
  <c r="D77"/>
  <c r="C77"/>
  <c r="I76"/>
  <c r="O76" s="1"/>
  <c r="N75"/>
  <c r="J75"/>
  <c r="I75"/>
  <c r="I77" s="1"/>
  <c r="G73"/>
  <c r="E73"/>
  <c r="H72"/>
  <c r="F72"/>
  <c r="F73" s="1"/>
  <c r="D72"/>
  <c r="C72"/>
  <c r="I71"/>
  <c r="O71" s="1"/>
  <c r="C71"/>
  <c r="I70"/>
  <c r="K70" s="1"/>
  <c r="C70"/>
  <c r="I69"/>
  <c r="O69" s="1"/>
  <c r="C69"/>
  <c r="I68"/>
  <c r="K68" s="1"/>
  <c r="C68"/>
  <c r="C67"/>
  <c r="C66"/>
  <c r="C65"/>
  <c r="C64"/>
  <c r="C63"/>
  <c r="C62"/>
  <c r="C61"/>
  <c r="C60"/>
  <c r="C59"/>
  <c r="C58"/>
  <c r="C57"/>
  <c r="C56"/>
  <c r="C55"/>
  <c r="D54"/>
  <c r="C54"/>
  <c r="I54" s="1"/>
  <c r="C53"/>
  <c r="C52"/>
  <c r="C51"/>
  <c r="C50"/>
  <c r="C49"/>
  <c r="C48"/>
  <c r="C47"/>
  <c r="D46"/>
  <c r="C46"/>
  <c r="I46" s="1"/>
  <c r="C45"/>
  <c r="C44"/>
  <c r="C43"/>
  <c r="C42"/>
  <c r="C41"/>
  <c r="H40"/>
  <c r="D40"/>
  <c r="C40"/>
  <c r="C39"/>
  <c r="C38"/>
  <c r="C37"/>
  <c r="C36"/>
  <c r="C35"/>
  <c r="C34"/>
  <c r="C33"/>
  <c r="C32"/>
  <c r="H31"/>
  <c r="C31"/>
  <c r="I31" s="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73" s="1"/>
  <c r="O68" l="1"/>
  <c r="O70"/>
  <c r="O79"/>
  <c r="L82"/>
  <c r="L86"/>
  <c r="L90"/>
  <c r="L93"/>
  <c r="L97"/>
  <c r="L101"/>
  <c r="L105"/>
  <c r="L109"/>
  <c r="L113"/>
  <c r="L117"/>
  <c r="L121"/>
  <c r="L123"/>
  <c r="L127"/>
  <c r="L131"/>
  <c r="L135"/>
  <c r="L139"/>
  <c r="L143"/>
  <c r="I3"/>
  <c r="I4"/>
  <c r="O4" s="1"/>
  <c r="I5"/>
  <c r="O5" s="1"/>
  <c r="I6"/>
  <c r="O6" s="1"/>
  <c r="I7"/>
  <c r="O7" s="1"/>
  <c r="I8"/>
  <c r="O8" s="1"/>
  <c r="I9"/>
  <c r="O9" s="1"/>
  <c r="I10"/>
  <c r="O10" s="1"/>
  <c r="I11"/>
  <c r="O11" s="1"/>
  <c r="I12"/>
  <c r="O12" s="1"/>
  <c r="I13"/>
  <c r="O13" s="1"/>
  <c r="I14"/>
  <c r="O14" s="1"/>
  <c r="I15"/>
  <c r="O15" s="1"/>
  <c r="I16"/>
  <c r="O16" s="1"/>
  <c r="I17"/>
  <c r="O17" s="1"/>
  <c r="I18"/>
  <c r="O18" s="1"/>
  <c r="I19"/>
  <c r="O19" s="1"/>
  <c r="I20"/>
  <c r="O20" s="1"/>
  <c r="I21"/>
  <c r="O21" s="1"/>
  <c r="I22"/>
  <c r="O22" s="1"/>
  <c r="I23"/>
  <c r="O23" s="1"/>
  <c r="I24"/>
  <c r="O24" s="1"/>
  <c r="I25"/>
  <c r="O25" s="1"/>
  <c r="I26"/>
  <c r="O26" s="1"/>
  <c r="I27"/>
  <c r="O27" s="1"/>
  <c r="I28"/>
  <c r="O28" s="1"/>
  <c r="I29"/>
  <c r="O29" s="1"/>
  <c r="I30"/>
  <c r="O30" s="1"/>
  <c r="H73"/>
  <c r="D73"/>
  <c r="I47"/>
  <c r="O47" s="1"/>
  <c r="I48"/>
  <c r="O48" s="1"/>
  <c r="I49"/>
  <c r="O49" s="1"/>
  <c r="I50"/>
  <c r="O50" s="1"/>
  <c r="I51"/>
  <c r="O51" s="1"/>
  <c r="I52"/>
  <c r="O52" s="1"/>
  <c r="I53"/>
  <c r="O53" s="1"/>
  <c r="K54"/>
  <c r="J68"/>
  <c r="J70"/>
  <c r="I72"/>
  <c r="N72" s="1"/>
  <c r="N77"/>
  <c r="L75"/>
  <c r="L80"/>
  <c r="J82"/>
  <c r="N82"/>
  <c r="L84"/>
  <c r="J86"/>
  <c r="N86"/>
  <c r="L88"/>
  <c r="J90"/>
  <c r="N90"/>
  <c r="J93"/>
  <c r="L95"/>
  <c r="J97"/>
  <c r="N97"/>
  <c r="L99"/>
  <c r="J101"/>
  <c r="N101"/>
  <c r="L103"/>
  <c r="J105"/>
  <c r="N105"/>
  <c r="L107"/>
  <c r="J109"/>
  <c r="N109"/>
  <c r="L111"/>
  <c r="J113"/>
  <c r="N113"/>
  <c r="L115"/>
  <c r="J117"/>
  <c r="N117"/>
  <c r="L119"/>
  <c r="J121"/>
  <c r="N121"/>
  <c r="J123"/>
  <c r="N123"/>
  <c r="L125"/>
  <c r="J127"/>
  <c r="N127"/>
  <c r="L129"/>
  <c r="J131"/>
  <c r="N131"/>
  <c r="L133"/>
  <c r="J135"/>
  <c r="N135"/>
  <c r="L137"/>
  <c r="J139"/>
  <c r="N139"/>
  <c r="L141"/>
  <c r="J143"/>
  <c r="N143"/>
  <c r="L145"/>
  <c r="N31"/>
  <c r="L31"/>
  <c r="J31"/>
  <c r="M31"/>
  <c r="K31"/>
  <c r="O46"/>
  <c r="M46"/>
  <c r="K46"/>
  <c r="N46"/>
  <c r="L46"/>
  <c r="N54"/>
  <c r="L54"/>
  <c r="J54"/>
  <c r="O54"/>
  <c r="M54"/>
  <c r="N68"/>
  <c r="L68"/>
  <c r="N70"/>
  <c r="L70"/>
  <c r="D152"/>
  <c r="K77"/>
  <c r="F152"/>
  <c r="M77"/>
  <c r="H152"/>
  <c r="O77"/>
  <c r="I91"/>
  <c r="N79"/>
  <c r="L79"/>
  <c r="J79"/>
  <c r="N81"/>
  <c r="L81"/>
  <c r="J81"/>
  <c r="N83"/>
  <c r="L83"/>
  <c r="J83"/>
  <c r="N85"/>
  <c r="L85"/>
  <c r="J85"/>
  <c r="N87"/>
  <c r="L87"/>
  <c r="J87"/>
  <c r="N89"/>
  <c r="L89"/>
  <c r="J89"/>
  <c r="J3"/>
  <c r="L3"/>
  <c r="N3"/>
  <c r="L4"/>
  <c r="N4"/>
  <c r="L5"/>
  <c r="N5"/>
  <c r="L6"/>
  <c r="N6"/>
  <c r="L7"/>
  <c r="N7"/>
  <c r="L8"/>
  <c r="N8"/>
  <c r="L9"/>
  <c r="N9"/>
  <c r="L10"/>
  <c r="N10"/>
  <c r="L11"/>
  <c r="N11"/>
  <c r="L12"/>
  <c r="N12"/>
  <c r="L13"/>
  <c r="N13"/>
  <c r="L14"/>
  <c r="N14"/>
  <c r="L15"/>
  <c r="N15"/>
  <c r="L16"/>
  <c r="N16"/>
  <c r="L17"/>
  <c r="N17"/>
  <c r="L18"/>
  <c r="N18"/>
  <c r="L19"/>
  <c r="N19"/>
  <c r="L20"/>
  <c r="N20"/>
  <c r="L21"/>
  <c r="N21"/>
  <c r="L22"/>
  <c r="N22"/>
  <c r="L23"/>
  <c r="N23"/>
  <c r="L24"/>
  <c r="N24"/>
  <c r="L25"/>
  <c r="N25"/>
  <c r="L26"/>
  <c r="N26"/>
  <c r="L27"/>
  <c r="N27"/>
  <c r="L28"/>
  <c r="N28"/>
  <c r="L29"/>
  <c r="N29"/>
  <c r="L30"/>
  <c r="N30"/>
  <c r="O31"/>
  <c r="I32"/>
  <c r="J32" s="1"/>
  <c r="I33"/>
  <c r="I34"/>
  <c r="I35"/>
  <c r="I36"/>
  <c r="J36" s="1"/>
  <c r="I37"/>
  <c r="I38"/>
  <c r="I39"/>
  <c r="I40"/>
  <c r="J40" s="1"/>
  <c r="I41"/>
  <c r="J41" s="1"/>
  <c r="I42"/>
  <c r="I43"/>
  <c r="I44"/>
  <c r="I45"/>
  <c r="J45" s="1"/>
  <c r="J46"/>
  <c r="L47"/>
  <c r="N47"/>
  <c r="L48"/>
  <c r="N48"/>
  <c r="L49"/>
  <c r="N49"/>
  <c r="L50"/>
  <c r="N50"/>
  <c r="L51"/>
  <c r="N51"/>
  <c r="L52"/>
  <c r="N52"/>
  <c r="L53"/>
  <c r="N53"/>
  <c r="I55"/>
  <c r="J55" s="1"/>
  <c r="I56"/>
  <c r="I57"/>
  <c r="I58"/>
  <c r="I59"/>
  <c r="J59" s="1"/>
  <c r="I60"/>
  <c r="I61"/>
  <c r="I62"/>
  <c r="I63"/>
  <c r="J63" s="1"/>
  <c r="I64"/>
  <c r="I65"/>
  <c r="I66"/>
  <c r="I67"/>
  <c r="J67" s="1"/>
  <c r="M68"/>
  <c r="J69"/>
  <c r="K69"/>
  <c r="M70"/>
  <c r="J71"/>
  <c r="K71"/>
  <c r="K72"/>
  <c r="O72"/>
  <c r="L72"/>
  <c r="K76"/>
  <c r="L77"/>
  <c r="M79"/>
  <c r="M81"/>
  <c r="M83"/>
  <c r="M85"/>
  <c r="M87"/>
  <c r="M89"/>
  <c r="J91"/>
  <c r="L91"/>
  <c r="N91"/>
  <c r="N69"/>
  <c r="L69"/>
  <c r="N71"/>
  <c r="L71"/>
  <c r="N76"/>
  <c r="L76"/>
  <c r="J76"/>
  <c r="K3"/>
  <c r="M3"/>
  <c r="O3"/>
  <c r="K4"/>
  <c r="M4"/>
  <c r="K5"/>
  <c r="M5"/>
  <c r="K6"/>
  <c r="M6"/>
  <c r="K7"/>
  <c r="M7"/>
  <c r="K8"/>
  <c r="M8"/>
  <c r="K9"/>
  <c r="M9"/>
  <c r="K10"/>
  <c r="M10"/>
  <c r="K11"/>
  <c r="M11"/>
  <c r="K12"/>
  <c r="M12"/>
  <c r="K13"/>
  <c r="M13"/>
  <c r="K14"/>
  <c r="M14"/>
  <c r="K15"/>
  <c r="M15"/>
  <c r="K16"/>
  <c r="M16"/>
  <c r="K17"/>
  <c r="M17"/>
  <c r="K18"/>
  <c r="M18"/>
  <c r="K19"/>
  <c r="M19"/>
  <c r="K20"/>
  <c r="M20"/>
  <c r="K21"/>
  <c r="M21"/>
  <c r="K22"/>
  <c r="M22"/>
  <c r="K23"/>
  <c r="M23"/>
  <c r="K24"/>
  <c r="M24"/>
  <c r="K25"/>
  <c r="M25"/>
  <c r="K26"/>
  <c r="M26"/>
  <c r="K27"/>
  <c r="M27"/>
  <c r="K28"/>
  <c r="M28"/>
  <c r="K29"/>
  <c r="M29"/>
  <c r="K30"/>
  <c r="M30"/>
  <c r="K47"/>
  <c r="M47"/>
  <c r="K48"/>
  <c r="M48"/>
  <c r="K49"/>
  <c r="M49"/>
  <c r="K50"/>
  <c r="M50"/>
  <c r="K51"/>
  <c r="M51"/>
  <c r="K52"/>
  <c r="M52"/>
  <c r="K53"/>
  <c r="M53"/>
  <c r="M69"/>
  <c r="M71"/>
  <c r="J72"/>
  <c r="M76"/>
  <c r="C152"/>
  <c r="E152"/>
  <c r="G152"/>
  <c r="J77"/>
  <c r="K81"/>
  <c r="O81"/>
  <c r="K83"/>
  <c r="O83"/>
  <c r="K85"/>
  <c r="O85"/>
  <c r="K87"/>
  <c r="O87"/>
  <c r="K89"/>
  <c r="O89"/>
  <c r="M72"/>
  <c r="K75"/>
  <c r="M75"/>
  <c r="O75"/>
  <c r="K80"/>
  <c r="M80"/>
  <c r="K82"/>
  <c r="M82"/>
  <c r="K84"/>
  <c r="M84"/>
  <c r="K86"/>
  <c r="M86"/>
  <c r="K88"/>
  <c r="M88"/>
  <c r="K90"/>
  <c r="M90"/>
  <c r="K93"/>
  <c r="M93"/>
  <c r="O93"/>
  <c r="J94"/>
  <c r="L94"/>
  <c r="N94"/>
  <c r="K95"/>
  <c r="M95"/>
  <c r="J96"/>
  <c r="L96"/>
  <c r="N96"/>
  <c r="K97"/>
  <c r="M97"/>
  <c r="J98"/>
  <c r="L98"/>
  <c r="N98"/>
  <c r="K99"/>
  <c r="M99"/>
  <c r="J100"/>
  <c r="L100"/>
  <c r="N100"/>
  <c r="K101"/>
  <c r="M101"/>
  <c r="J102"/>
  <c r="L102"/>
  <c r="N102"/>
  <c r="K103"/>
  <c r="M103"/>
  <c r="J104"/>
  <c r="L104"/>
  <c r="N104"/>
  <c r="K105"/>
  <c r="M105"/>
  <c r="J106"/>
  <c r="L106"/>
  <c r="N106"/>
  <c r="K107"/>
  <c r="M107"/>
  <c r="J108"/>
  <c r="L108"/>
  <c r="N108"/>
  <c r="K109"/>
  <c r="M109"/>
  <c r="J110"/>
  <c r="L110"/>
  <c r="N110"/>
  <c r="K111"/>
  <c r="M111"/>
  <c r="J112"/>
  <c r="L112"/>
  <c r="N112"/>
  <c r="K113"/>
  <c r="M113"/>
  <c r="J114"/>
  <c r="L114"/>
  <c r="N114"/>
  <c r="K115"/>
  <c r="M115"/>
  <c r="J116"/>
  <c r="L116"/>
  <c r="N116"/>
  <c r="K117"/>
  <c r="M117"/>
  <c r="J118"/>
  <c r="L118"/>
  <c r="N118"/>
  <c r="K119"/>
  <c r="M119"/>
  <c r="J120"/>
  <c r="L120"/>
  <c r="N120"/>
  <c r="K121"/>
  <c r="M121"/>
  <c r="K123"/>
  <c r="M123"/>
  <c r="J124"/>
  <c r="L124"/>
  <c r="N124"/>
  <c r="K125"/>
  <c r="M125"/>
  <c r="J126"/>
  <c r="L126"/>
  <c r="N126"/>
  <c r="K127"/>
  <c r="M127"/>
  <c r="J128"/>
  <c r="L128"/>
  <c r="N128"/>
  <c r="K129"/>
  <c r="M129"/>
  <c r="J130"/>
  <c r="L130"/>
  <c r="N130"/>
  <c r="K131"/>
  <c r="M131"/>
  <c r="J132"/>
  <c r="L132"/>
  <c r="N132"/>
  <c r="K133"/>
  <c r="M133"/>
  <c r="J134"/>
  <c r="L134"/>
  <c r="N134"/>
  <c r="K135"/>
  <c r="M135"/>
  <c r="J136"/>
  <c r="L136"/>
  <c r="N136"/>
  <c r="K137"/>
  <c r="M137"/>
  <c r="J138"/>
  <c r="L138"/>
  <c r="N138"/>
  <c r="K139"/>
  <c r="M139"/>
  <c r="J140"/>
  <c r="L140"/>
  <c r="N140"/>
  <c r="K141"/>
  <c r="M141"/>
  <c r="J142"/>
  <c r="L142"/>
  <c r="N142"/>
  <c r="K143"/>
  <c r="M143"/>
  <c r="J144"/>
  <c r="L144"/>
  <c r="N144"/>
  <c r="K145"/>
  <c r="M145"/>
  <c r="J146"/>
  <c r="L146"/>
  <c r="N146"/>
  <c r="J149"/>
  <c r="L149"/>
  <c r="N149"/>
  <c r="I150"/>
  <c r="M150" s="1"/>
  <c r="K94"/>
  <c r="M94"/>
  <c r="K96"/>
  <c r="M96"/>
  <c r="K98"/>
  <c r="M98"/>
  <c r="K100"/>
  <c r="M100"/>
  <c r="K102"/>
  <c r="M102"/>
  <c r="K104"/>
  <c r="M104"/>
  <c r="K106"/>
  <c r="M106"/>
  <c r="K108"/>
  <c r="M108"/>
  <c r="K110"/>
  <c r="M110"/>
  <c r="K112"/>
  <c r="M112"/>
  <c r="K114"/>
  <c r="M114"/>
  <c r="K116"/>
  <c r="M116"/>
  <c r="K118"/>
  <c r="M118"/>
  <c r="K120"/>
  <c r="M120"/>
  <c r="I122"/>
  <c r="K124"/>
  <c r="M124"/>
  <c r="K126"/>
  <c r="M126"/>
  <c r="K128"/>
  <c r="M128"/>
  <c r="K130"/>
  <c r="M130"/>
  <c r="K132"/>
  <c r="M132"/>
  <c r="K134"/>
  <c r="M134"/>
  <c r="K136"/>
  <c r="M136"/>
  <c r="K138"/>
  <c r="M138"/>
  <c r="K140"/>
  <c r="M140"/>
  <c r="K142"/>
  <c r="M142"/>
  <c r="K144"/>
  <c r="M144"/>
  <c r="K146"/>
  <c r="M146"/>
  <c r="K149"/>
  <c r="M149"/>
  <c r="J52" l="1"/>
  <c r="J50"/>
  <c r="J48"/>
  <c r="J30"/>
  <c r="J28"/>
  <c r="J26"/>
  <c r="J24"/>
  <c r="J22"/>
  <c r="J20"/>
  <c r="J18"/>
  <c r="J16"/>
  <c r="J14"/>
  <c r="J12"/>
  <c r="J10"/>
  <c r="J8"/>
  <c r="J6"/>
  <c r="J4"/>
  <c r="K40"/>
  <c r="J53"/>
  <c r="J51"/>
  <c r="J49"/>
  <c r="J47"/>
  <c r="J29"/>
  <c r="J27"/>
  <c r="J25"/>
  <c r="J23"/>
  <c r="J21"/>
  <c r="J19"/>
  <c r="J17"/>
  <c r="J15"/>
  <c r="J13"/>
  <c r="J11"/>
  <c r="J9"/>
  <c r="J7"/>
  <c r="J5"/>
  <c r="O122"/>
  <c r="M122"/>
  <c r="N122"/>
  <c r="L122"/>
  <c r="J122"/>
  <c r="N66"/>
  <c r="L66"/>
  <c r="O66"/>
  <c r="M66"/>
  <c r="K66"/>
  <c r="N64"/>
  <c r="L64"/>
  <c r="O64"/>
  <c r="M64"/>
  <c r="K64"/>
  <c r="N62"/>
  <c r="L62"/>
  <c r="O62"/>
  <c r="M62"/>
  <c r="K62"/>
  <c r="N60"/>
  <c r="L60"/>
  <c r="O60"/>
  <c r="M60"/>
  <c r="K60"/>
  <c r="N58"/>
  <c r="L58"/>
  <c r="O58"/>
  <c r="M58"/>
  <c r="K58"/>
  <c r="N56"/>
  <c r="L56"/>
  <c r="O56"/>
  <c r="M56"/>
  <c r="K56"/>
  <c r="N44"/>
  <c r="L44"/>
  <c r="O44"/>
  <c r="M44"/>
  <c r="K44"/>
  <c r="N42"/>
  <c r="L42"/>
  <c r="O42"/>
  <c r="M42"/>
  <c r="K42"/>
  <c r="N39"/>
  <c r="L39"/>
  <c r="O39"/>
  <c r="M39"/>
  <c r="K39"/>
  <c r="N37"/>
  <c r="L37"/>
  <c r="O37"/>
  <c r="M37"/>
  <c r="K37"/>
  <c r="N35"/>
  <c r="L35"/>
  <c r="O35"/>
  <c r="M35"/>
  <c r="K35"/>
  <c r="N33"/>
  <c r="L33"/>
  <c r="O33"/>
  <c r="M33"/>
  <c r="K33"/>
  <c r="O91"/>
  <c r="M91"/>
  <c r="K91"/>
  <c r="J66"/>
  <c r="J62"/>
  <c r="J58"/>
  <c r="J39"/>
  <c r="J35"/>
  <c r="J42"/>
  <c r="N150"/>
  <c r="L150"/>
  <c r="J150"/>
  <c r="N67"/>
  <c r="L67"/>
  <c r="M67"/>
  <c r="O67"/>
  <c r="K67"/>
  <c r="N65"/>
  <c r="L65"/>
  <c r="O65"/>
  <c r="M65"/>
  <c r="K65"/>
  <c r="N63"/>
  <c r="L63"/>
  <c r="O63"/>
  <c r="M63"/>
  <c r="K63"/>
  <c r="N61"/>
  <c r="L61"/>
  <c r="O61"/>
  <c r="M61"/>
  <c r="K61"/>
  <c r="N59"/>
  <c r="L59"/>
  <c r="O59"/>
  <c r="M59"/>
  <c r="K59"/>
  <c r="N57"/>
  <c r="L57"/>
  <c r="O57"/>
  <c r="M57"/>
  <c r="K57"/>
  <c r="N55"/>
  <c r="L55"/>
  <c r="O55"/>
  <c r="M55"/>
  <c r="K55"/>
  <c r="N45"/>
  <c r="L45"/>
  <c r="O45"/>
  <c r="M45"/>
  <c r="K45"/>
  <c r="N43"/>
  <c r="L43"/>
  <c r="O43"/>
  <c r="M43"/>
  <c r="K43"/>
  <c r="N41"/>
  <c r="L41"/>
  <c r="O41"/>
  <c r="M41"/>
  <c r="K41"/>
  <c r="N40"/>
  <c r="L40"/>
  <c r="M40"/>
  <c r="N38"/>
  <c r="L38"/>
  <c r="O38"/>
  <c r="M38"/>
  <c r="K38"/>
  <c r="N36"/>
  <c r="L36"/>
  <c r="O36"/>
  <c r="M36"/>
  <c r="K36"/>
  <c r="N34"/>
  <c r="L34"/>
  <c r="O34"/>
  <c r="M34"/>
  <c r="K34"/>
  <c r="N32"/>
  <c r="L32"/>
  <c r="O32"/>
  <c r="M32"/>
  <c r="K32"/>
  <c r="K122"/>
  <c r="O150"/>
  <c r="K150"/>
  <c r="I147"/>
  <c r="J64"/>
  <c r="J60"/>
  <c r="J56"/>
  <c r="J43"/>
  <c r="J37"/>
  <c r="J33"/>
  <c r="I73"/>
  <c r="J65"/>
  <c r="J61"/>
  <c r="J57"/>
  <c r="J44"/>
  <c r="O40"/>
  <c r="J38"/>
  <c r="J34"/>
  <c r="N147" l="1"/>
  <c r="L147"/>
  <c r="J147"/>
  <c r="M147"/>
  <c r="K147"/>
  <c r="O147"/>
  <c r="I152"/>
  <c r="J73"/>
  <c r="K73"/>
  <c r="M73"/>
  <c r="N73"/>
  <c r="L73"/>
  <c r="O73"/>
  <c r="O152" l="1"/>
  <c r="M152"/>
  <c r="K152"/>
  <c r="L152"/>
  <c r="N152"/>
  <c r="J152"/>
</calcChain>
</file>

<file path=xl/sharedStrings.xml><?xml version="1.0" encoding="utf-8"?>
<sst xmlns="http://schemas.openxmlformats.org/spreadsheetml/2006/main" count="167" uniqueCount="165">
  <si>
    <t>Revenue by Fund Source - 2010-2011</t>
  </si>
  <si>
    <t>Revenue by Fund Source - 2011-2012</t>
  </si>
  <si>
    <t>LEA</t>
  </si>
  <si>
    <t>DISTRICT</t>
  </si>
  <si>
    <t>General Funds</t>
  </si>
  <si>
    <t xml:space="preserve">Special Fund Federal </t>
  </si>
  <si>
    <t>NCLB Federal Funds</t>
  </si>
  <si>
    <t>Other Special Funds</t>
  </si>
  <si>
    <t>Debt Service Funds</t>
  </si>
  <si>
    <t>Capital Project Funds</t>
  </si>
  <si>
    <t>Total Revenue</t>
  </si>
  <si>
    <t>Percent           General Funds</t>
  </si>
  <si>
    <t xml:space="preserve">Percent            Special Fund Federal </t>
  </si>
  <si>
    <t>Percent               NCLB Federal Funds</t>
  </si>
  <si>
    <t>Percent          Other Special Funds</t>
  </si>
  <si>
    <t>Percent           Debt Service Funds</t>
  </si>
  <si>
    <t>Percent             Capital Project Funds</t>
  </si>
  <si>
    <t>Acadia Parish School Board</t>
  </si>
  <si>
    <t>Allen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</si>
  <si>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</si>
  <si>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</si>
  <si>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</si>
  <si>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</si>
  <si>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</si>
  <si>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</si>
  <si>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</si>
  <si>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Calcasieu Parish School Board</t>
  </si>
  <si>
    <t>Caldwell Parish School Board</t>
  </si>
  <si>
    <t>Cameron Parish School Board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</si>
  <si>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</si>
  <si>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</si>
  <si>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</si>
  <si>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</si>
  <si>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</si>
  <si>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</si>
  <si>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</si>
  <si>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</si>
  <si>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</si>
  <si>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</si>
  <si>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</si>
  <si>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</si>
  <si>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</si>
  <si>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</si>
  <si>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>Jefferson Davis Parish School Board</t>
  </si>
  <si>
    <t>Lafayette Parish School Board</t>
  </si>
  <si>
    <t>Lafourche Parish School Board *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</si>
  <si>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</si>
  <si>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</si>
  <si>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</si>
  <si>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</si>
  <si>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</si>
  <si>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</si>
  <si>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>Orleans Parish School Board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</si>
  <si>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</si>
  <si>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</si>
  <si>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</si>
  <si>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</si>
  <si>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</si>
  <si>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</si>
  <si>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</si>
  <si>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</si>
  <si>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>St. Charles Parish School Board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</si>
  <si>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</si>
  <si>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</si>
  <si>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</si>
  <si>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</si>
  <si>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</si>
  <si>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</si>
  <si>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 *</t>
  </si>
  <si>
    <t>Tangipahoa Parish School Board</t>
  </si>
  <si>
    <t>Tensas Parish School Board</t>
  </si>
  <si>
    <t>Terrebonne Parish School Board</t>
  </si>
  <si>
    <t>Union Parish School Board</t>
  </si>
  <si>
    <t>Vermilion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</si>
  <si>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</si>
  <si>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</si>
  <si>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</si>
  <si>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</si>
  <si>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</si>
  <si>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</si>
  <si>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</si>
  <si>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</si>
  <si>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City of Bogalusa School Board</t>
  </si>
  <si>
    <t>Zachary Community School Board</t>
  </si>
  <si>
    <t>City of Baker School Board</t>
  </si>
  <si>
    <t>Central Community School Board</t>
  </si>
  <si>
    <t>Recovery School District (RSD OPERATED) *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</si>
  <si>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</si>
  <si>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</si>
  <si>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</si>
  <si>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</si>
  <si>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</si>
  <si>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</si>
  <si>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</si>
  <si>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</si>
  <si>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</si>
  <si>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</si>
  <si>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</si>
  <si>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</si>
  <si>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</si>
  <si>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</si>
  <si>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</si>
  <si>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International High School of New Orleans (VIBE)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</si>
  <si>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</si>
  <si>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</si>
  <si>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</si>
  <si>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</si>
  <si>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</si>
  <si>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</si>
  <si>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</si>
  <si>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</si>
  <si>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 xml:space="preserve">Batiste Cultural Arts Academy at Live Oak Elem. </t>
  </si>
  <si>
    <t>SciTech Academy at Laurel Elementary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</si>
  <si>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</si>
  <si>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</si>
  <si>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</si>
  <si>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</si>
  <si>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</si>
  <si>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</si>
  <si>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</si>
  <si>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</si>
  <si>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</si>
  <si>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</si>
  <si>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</si>
  <si>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</si>
  <si>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</si>
  <si>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</si>
  <si>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</si>
  <si>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</si>
  <si>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</si>
  <si>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</si>
  <si>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</si>
  <si>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</si>
  <si>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 *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</si>
  <si>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</si>
  <si>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</si>
  <si>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</si>
  <si>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</si>
  <si>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</si>
  <si>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</si>
  <si>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</si>
  <si>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</si>
  <si>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</si>
  <si>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</si>
  <si>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</si>
  <si>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</si>
  <si>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</si>
  <si>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</si>
  <si>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</si>
  <si>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</si>
  <si>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</si>
  <si>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</si>
  <si>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</si>
  <si>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Renaissance High School</t>
  </si>
  <si>
    <t>KIPP New Orleans Leadership Academy</t>
  </si>
  <si>
    <t>Samuel J. Green (FirstLine)</t>
  </si>
  <si>
    <t>New Orleans Charter Middle School (FirstLine)</t>
  </si>
  <si>
    <t>John Dibert Community School (FirstLine)</t>
  </si>
  <si>
    <t>Total Type 5 Charter Schools</t>
  </si>
  <si>
    <t>A02</t>
  </si>
  <si>
    <t xml:space="preserve">Office of Juvenile Justice </t>
  </si>
  <si>
    <t xml:space="preserve">Total Office of Juvenile Justice Schools </t>
  </si>
  <si>
    <t>Total State</t>
  </si>
  <si>
    <t>*Excludes one-time Hurricane related revenues</t>
  </si>
  <si>
    <t xml:space="preserve">* Each city/parish school district transfers local revenue to Type 2 Charter Schools, the Recovery School District, and the Office of Juvenile Justice. Each school that receives this local revenue reports the revenue as miscellaneous local revenue. In order for state-level reporting to accurately reflect the local revenue of each city/parish school district, these local revenue transfers are subtracted from the local revenue of the city/parish school district. 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</si>
</sst>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0" fontId="5" fillId="0" borderId="0"/>
    <xf numFmtId="0" fontId="7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1" applyFont="1" applyFill="1" applyBorder="1" applyAlignment="1">
      <alignment wrapText="1"/>
    </xf>
    <xf numFmtId="6" fontId="6" fillId="0" borderId="5" xfId="1" applyNumberFormat="1" applyFont="1" applyFill="1" applyBorder="1" applyAlignment="1">
      <alignment horizontal="right" wrapText="1"/>
    </xf>
    <xf numFmtId="6" fontId="6" fillId="2" borderId="5" xfId="1" applyNumberFormat="1" applyFont="1" applyFill="1" applyBorder="1" applyAlignment="1">
      <alignment horizontal="right" wrapText="1"/>
    </xf>
    <xf numFmtId="10" fontId="6" fillId="0" borderId="5" xfId="1" applyNumberFormat="1" applyFont="1" applyFill="1" applyBorder="1" applyAlignment="1">
      <alignment horizontal="right" wrapText="1"/>
    </xf>
    <xf numFmtId="10" fontId="6" fillId="0" borderId="6" xfId="1" applyNumberFormat="1" applyFont="1" applyFill="1" applyBorder="1" applyAlignment="1">
      <alignment horizontal="right" wrapText="1"/>
    </xf>
    <xf numFmtId="0" fontId="6" fillId="0" borderId="5" xfId="1" applyFont="1" applyFill="1" applyBorder="1" applyAlignment="1">
      <alignment horizontal="right" wrapText="1"/>
    </xf>
    <xf numFmtId="0" fontId="6" fillId="0" borderId="7" xfId="1" applyFont="1" applyFill="1" applyBorder="1" applyAlignment="1">
      <alignment horizontal="left" wrapText="1"/>
    </xf>
    <xf numFmtId="6" fontId="2" fillId="0" borderId="5" xfId="0" applyNumberFormat="1" applyFont="1" applyFill="1" applyBorder="1" applyAlignment="1">
      <alignment horizontal="right"/>
    </xf>
    <xf numFmtId="6" fontId="2" fillId="2" borderId="5" xfId="0" applyNumberFormat="1" applyFont="1" applyFill="1" applyBorder="1" applyAlignment="1">
      <alignment horizontal="right"/>
    </xf>
    <xf numFmtId="10" fontId="2" fillId="0" borderId="5" xfId="0" applyNumberFormat="1" applyFont="1" applyFill="1" applyBorder="1"/>
    <xf numFmtId="10" fontId="2" fillId="0" borderId="6" xfId="0" applyNumberFormat="1" applyFont="1" applyFill="1" applyBorder="1"/>
    <xf numFmtId="0" fontId="6" fillId="0" borderId="8" xfId="1" applyFont="1" applyFill="1" applyBorder="1" applyAlignment="1">
      <alignment wrapText="1"/>
    </xf>
    <xf numFmtId="0" fontId="2" fillId="0" borderId="3" xfId="0" applyFont="1" applyBorder="1"/>
    <xf numFmtId="0" fontId="4" fillId="0" borderId="9" xfId="0" applyFont="1" applyBorder="1"/>
    <xf numFmtId="164" fontId="4" fillId="0" borderId="2" xfId="0" applyNumberFormat="1" applyFont="1" applyFill="1" applyBorder="1"/>
    <xf numFmtId="164" fontId="4" fillId="2" borderId="2" xfId="0" applyNumberFormat="1" applyFont="1" applyFill="1" applyBorder="1"/>
    <xf numFmtId="10" fontId="4" fillId="0" borderId="2" xfId="0" applyNumberFormat="1" applyFont="1" applyFill="1" applyBorder="1"/>
    <xf numFmtId="10" fontId="4" fillId="0" borderId="4" xfId="0" applyNumberFormat="1" applyFont="1" applyFill="1" applyBorder="1"/>
    <xf numFmtId="0" fontId="2" fillId="3" borderId="3" xfId="0" applyFont="1" applyFill="1" applyBorder="1"/>
    <xf numFmtId="0" fontId="2" fillId="3" borderId="9" xfId="0" applyFont="1" applyFill="1" applyBorder="1"/>
    <xf numFmtId="164" fontId="2" fillId="4" borderId="4" xfId="0" applyNumberFormat="1" applyFont="1" applyFill="1" applyBorder="1"/>
    <xf numFmtId="164" fontId="2" fillId="3" borderId="4" xfId="0" applyNumberFormat="1" applyFont="1" applyFill="1" applyBorder="1"/>
    <xf numFmtId="10" fontId="2" fillId="3" borderId="3" xfId="0" applyNumberFormat="1" applyFont="1" applyFill="1" applyBorder="1"/>
    <xf numFmtId="10" fontId="2" fillId="3" borderId="9" xfId="0" applyNumberFormat="1" applyFont="1" applyFill="1" applyBorder="1"/>
    <xf numFmtId="10" fontId="2" fillId="3" borderId="4" xfId="0" applyNumberFormat="1" applyFont="1" applyFill="1" applyBorder="1"/>
    <xf numFmtId="0" fontId="6" fillId="0" borderId="8" xfId="1" applyFont="1" applyFill="1" applyBorder="1" applyAlignment="1">
      <alignment horizontal="right" wrapText="1"/>
    </xf>
    <xf numFmtId="164" fontId="6" fillId="0" borderId="8" xfId="1" applyNumberFormat="1" applyFont="1" applyFill="1" applyBorder="1" applyAlignment="1">
      <alignment horizontal="right" wrapText="1"/>
    </xf>
    <xf numFmtId="164" fontId="6" fillId="2" borderId="8" xfId="1" applyNumberFormat="1" applyFont="1" applyFill="1" applyBorder="1" applyAlignment="1">
      <alignment horizontal="right" wrapText="1"/>
    </xf>
    <xf numFmtId="10" fontId="6" fillId="0" borderId="8" xfId="1" applyNumberFormat="1" applyFont="1" applyFill="1" applyBorder="1" applyAlignment="1">
      <alignment horizontal="right" wrapText="1"/>
    </xf>
    <xf numFmtId="10" fontId="6" fillId="0" borderId="10" xfId="1" applyNumberFormat="1" applyFont="1" applyFill="1" applyBorder="1" applyAlignment="1">
      <alignment horizontal="right" wrapText="1"/>
    </xf>
    <xf numFmtId="0" fontId="6" fillId="0" borderId="11" xfId="1" applyFont="1" applyFill="1" applyBorder="1" applyAlignment="1">
      <alignment horizontal="right" wrapText="1"/>
    </xf>
    <xf numFmtId="0" fontId="6" fillId="0" borderId="12" xfId="1" applyFont="1" applyFill="1" applyBorder="1" applyAlignment="1">
      <alignment horizontal="left" wrapText="1"/>
    </xf>
    <xf numFmtId="164" fontId="6" fillId="0" borderId="7" xfId="1" applyNumberFormat="1" applyFont="1" applyFill="1" applyBorder="1" applyAlignment="1">
      <alignment horizontal="right" wrapText="1"/>
    </xf>
    <xf numFmtId="164" fontId="6" fillId="2" borderId="7" xfId="1" applyNumberFormat="1" applyFont="1" applyFill="1" applyBorder="1" applyAlignment="1">
      <alignment horizontal="right" wrapText="1"/>
    </xf>
    <xf numFmtId="10" fontId="6" fillId="0" borderId="7" xfId="1" applyNumberFormat="1" applyFont="1" applyFill="1" applyBorder="1" applyAlignment="1">
      <alignment horizontal="right" wrapText="1"/>
    </xf>
    <xf numFmtId="10" fontId="6" fillId="0" borderId="13" xfId="1" applyNumberFormat="1" applyFont="1" applyFill="1" applyBorder="1" applyAlignment="1">
      <alignment horizontal="right" wrapText="1"/>
    </xf>
    <xf numFmtId="0" fontId="2" fillId="0" borderId="12" xfId="0" applyFont="1" applyBorder="1"/>
    <xf numFmtId="0" fontId="4" fillId="0" borderId="14" xfId="0" applyFont="1" applyBorder="1" applyAlignment="1">
      <alignment horizontal="left"/>
    </xf>
    <xf numFmtId="164" fontId="4" fillId="0" borderId="7" xfId="0" applyNumberFormat="1" applyFont="1" applyFill="1" applyBorder="1"/>
    <xf numFmtId="164" fontId="4" fillId="2" borderId="7" xfId="0" applyNumberFormat="1" applyFont="1" applyFill="1" applyBorder="1"/>
    <xf numFmtId="10" fontId="4" fillId="0" borderId="7" xfId="0" applyNumberFormat="1" applyFont="1" applyFill="1" applyBorder="1"/>
    <xf numFmtId="10" fontId="4" fillId="0" borderId="15" xfId="0" applyNumberFormat="1" applyFont="1" applyFill="1" applyBorder="1"/>
    <xf numFmtId="10" fontId="4" fillId="0" borderId="11" xfId="0" applyNumberFormat="1" applyFont="1" applyFill="1" applyBorder="1"/>
    <xf numFmtId="10" fontId="4" fillId="0" borderId="16" xfId="0" applyNumberFormat="1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6" fillId="0" borderId="19" xfId="1" applyFont="1" applyFill="1" applyBorder="1" applyAlignment="1">
      <alignment horizontal="right" wrapText="1"/>
    </xf>
    <xf numFmtId="0" fontId="6" fillId="0" borderId="19" xfId="1" applyFont="1" applyFill="1" applyBorder="1" applyAlignment="1">
      <alignment wrapText="1"/>
    </xf>
    <xf numFmtId="164" fontId="6" fillId="0" borderId="5" xfId="1" applyNumberFormat="1" applyFont="1" applyFill="1" applyBorder="1" applyAlignment="1">
      <alignment horizontal="right" wrapText="1"/>
    </xf>
    <xf numFmtId="164" fontId="6" fillId="2" borderId="5" xfId="1" applyNumberFormat="1" applyFont="1" applyFill="1" applyBorder="1" applyAlignment="1">
      <alignment horizontal="right" wrapText="1"/>
    </xf>
    <xf numFmtId="0" fontId="6" fillId="0" borderId="7" xfId="1" applyFont="1" applyFill="1" applyBorder="1" applyAlignment="1">
      <alignment horizontal="right" wrapText="1"/>
    </xf>
    <xf numFmtId="0" fontId="6" fillId="0" borderId="7" xfId="1" applyFont="1" applyFill="1" applyBorder="1" applyAlignment="1">
      <alignment wrapText="1"/>
    </xf>
    <xf numFmtId="0" fontId="2" fillId="0" borderId="0" xfId="0" applyFont="1" applyBorder="1"/>
    <xf numFmtId="0" fontId="6" fillId="5" borderId="5" xfId="1" applyFont="1" applyFill="1" applyBorder="1" applyAlignment="1">
      <alignment horizontal="right" wrapText="1"/>
    </xf>
    <xf numFmtId="0" fontId="6" fillId="5" borderId="5" xfId="1" applyFont="1" applyFill="1" applyBorder="1" applyAlignment="1">
      <alignment wrapText="1"/>
    </xf>
    <xf numFmtId="0" fontId="6" fillId="5" borderId="7" xfId="1" applyFont="1" applyFill="1" applyBorder="1" applyAlignment="1">
      <alignment horizontal="right" wrapText="1"/>
    </xf>
    <xf numFmtId="0" fontId="6" fillId="5" borderId="7" xfId="1" applyFont="1" applyFill="1" applyBorder="1" applyAlignment="1">
      <alignment wrapText="1"/>
    </xf>
    <xf numFmtId="0" fontId="2" fillId="0" borderId="1" xfId="0" applyFont="1" applyBorder="1"/>
    <xf numFmtId="0" fontId="6" fillId="0" borderId="5" xfId="1" applyFont="1" applyFill="1" applyBorder="1" applyAlignment="1">
      <alignment horizontal="left" wrapText="1"/>
    </xf>
    <xf numFmtId="164" fontId="4" fillId="0" borderId="7" xfId="0" applyNumberFormat="1" applyFont="1" applyBorder="1"/>
    <xf numFmtId="164" fontId="4" fillId="0" borderId="20" xfId="0" applyNumberFormat="1" applyFont="1" applyBorder="1"/>
    <xf numFmtId="10" fontId="4" fillId="0" borderId="7" xfId="0" applyNumberFormat="1" applyFont="1" applyBorder="1"/>
    <xf numFmtId="10" fontId="4" fillId="0" borderId="13" xfId="0" applyNumberFormat="1" applyFont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3" borderId="10" xfId="0" applyFont="1" applyFill="1" applyBorder="1"/>
    <xf numFmtId="0" fontId="6" fillId="0" borderId="2" xfId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164" fontId="6" fillId="0" borderId="2" xfId="1" applyNumberFormat="1" applyFont="1" applyFill="1" applyBorder="1" applyAlignment="1">
      <alignment horizontal="right" wrapText="1"/>
    </xf>
    <xf numFmtId="164" fontId="6" fillId="2" borderId="2" xfId="1" applyNumberFormat="1" applyFont="1" applyFill="1" applyBorder="1" applyAlignment="1">
      <alignment horizontal="right" wrapText="1"/>
    </xf>
    <xf numFmtId="10" fontId="6" fillId="0" borderId="2" xfId="1" applyNumberFormat="1" applyFont="1" applyFill="1" applyBorder="1" applyAlignment="1">
      <alignment horizontal="right" wrapText="1"/>
    </xf>
    <xf numFmtId="10" fontId="6" fillId="0" borderId="4" xfId="1" applyNumberFormat="1" applyFont="1" applyFill="1" applyBorder="1" applyAlignment="1">
      <alignment horizontal="right" wrapText="1"/>
    </xf>
    <xf numFmtId="0" fontId="2" fillId="0" borderId="22" xfId="0" applyFont="1" applyBorder="1"/>
    <xf numFmtId="0" fontId="2" fillId="3" borderId="4" xfId="0" applyFont="1" applyFill="1" applyBorder="1"/>
    <xf numFmtId="0" fontId="2" fillId="0" borderId="23" xfId="0" applyFont="1" applyBorder="1"/>
    <xf numFmtId="0" fontId="4" fillId="0" borderId="24" xfId="0" applyFont="1" applyBorder="1" applyAlignment="1">
      <alignment horizontal="left"/>
    </xf>
    <xf numFmtId="164" fontId="4" fillId="0" borderId="25" xfId="0" applyNumberFormat="1" applyFont="1" applyBorder="1"/>
    <xf numFmtId="164" fontId="4" fillId="2" borderId="26" xfId="0" applyNumberFormat="1" applyFont="1" applyFill="1" applyBorder="1"/>
    <xf numFmtId="10" fontId="4" fillId="0" borderId="26" xfId="0" applyNumberFormat="1" applyFont="1" applyBorder="1"/>
    <xf numFmtId="10" fontId="4" fillId="0" borderId="25" xfId="0" applyNumberFormat="1" applyFont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/>
    <xf numFmtId="10" fontId="4" fillId="0" borderId="0" xfId="0" applyNumberFormat="1" applyFont="1" applyFill="1" applyBorder="1"/>
    <xf numFmtId="38" fontId="2" fillId="0" borderId="0" xfId="2" applyNumberFormat="1" applyFont="1" applyFill="1" applyAlignment="1">
      <alignment horizontal="left" vertical="top" wrapText="1"/>
    </xf>
    <xf numFmtId="164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38" fontId="2" fillId="0" borderId="0" xfId="2" applyNumberFormat="1" applyFont="1" applyFill="1" applyAlignment="1">
      <alignment horizontal="left" vertical="top" wrapText="1"/>
    </xf>
    <xf numFmtId="38" fontId="2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wrapText="1"/>
    </xf>
  </cellXfs>
  <cellStyles count="21">
    <cellStyle name="Comma 2" xfId="3"/>
    <cellStyle name="Comma 2 2" xfId="4"/>
    <cellStyle name="Comma 4" xfId="5"/>
    <cellStyle name="Comma 9" xfId="6"/>
    <cellStyle name="Normal" xfId="0" builtinId="0"/>
    <cellStyle name="Normal 16" xfId="2"/>
    <cellStyle name="Normal 19 2" xfId="7"/>
    <cellStyle name="Normal 2 2" xfId="8"/>
    <cellStyle name="Normal 2 3" xfId="9"/>
    <cellStyle name="Normal 2 4" xfId="10"/>
    <cellStyle name="Normal 21" xfId="11"/>
    <cellStyle name="Normal 3 2" xfId="12"/>
    <cellStyle name="Normal 33" xfId="13"/>
    <cellStyle name="Normal 4 2" xfId="14"/>
    <cellStyle name="Normal 4 3" xfId="15"/>
    <cellStyle name="Normal 4 4" xfId="16"/>
    <cellStyle name="Normal 4 5" xfId="17"/>
    <cellStyle name="Normal 4 6" xfId="18"/>
    <cellStyle name="Normal 7 2" xfId="19"/>
    <cellStyle name="Normal 8 2" xfId="20"/>
    <cellStyle name="Normal_Sheet1" xfId="1"/>
  </cellStyles>
  <dxfs count="1">
    <dxf>
      <border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Revenue/5-FY10-11%20Revenues%20by%20Fun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enue by Fund"/>
      <sheetName val="AFR Data"/>
      <sheetName val="Hurricane Data"/>
      <sheetName val="Local Transfers"/>
    </sheetNames>
    <sheetDataSet>
      <sheetData sheetId="0"/>
      <sheetData sheetId="1"/>
      <sheetData sheetId="2">
        <row r="6">
          <cell r="K6">
            <v>-900893</v>
          </cell>
        </row>
        <row r="7">
          <cell r="G7">
            <v>1598651</v>
          </cell>
          <cell r="K7">
            <v>28919472</v>
          </cell>
        </row>
        <row r="8">
          <cell r="G8">
            <v>52914154</v>
          </cell>
        </row>
        <row r="9">
          <cell r="G9">
            <v>4346052</v>
          </cell>
        </row>
        <row r="12">
          <cell r="I12">
            <v>44650</v>
          </cell>
        </row>
        <row r="13">
          <cell r="G13">
            <v>16592201</v>
          </cell>
          <cell r="I13">
            <v>-3</v>
          </cell>
          <cell r="K13">
            <v>67523048</v>
          </cell>
        </row>
      </sheetData>
      <sheetData sheetId="3">
        <row r="7">
          <cell r="I7">
            <v>-2030</v>
          </cell>
        </row>
        <row r="8">
          <cell r="I8">
            <v>-2632</v>
          </cell>
        </row>
        <row r="9">
          <cell r="I9">
            <v>-690</v>
          </cell>
        </row>
        <row r="10">
          <cell r="I10">
            <v>-8529</v>
          </cell>
        </row>
        <row r="11">
          <cell r="I11">
            <v>-6104</v>
          </cell>
        </row>
        <row r="12">
          <cell r="I12">
            <v>-7895</v>
          </cell>
        </row>
        <row r="13">
          <cell r="I13">
            <v>0</v>
          </cell>
        </row>
        <row r="14">
          <cell r="I14">
            <v>-11506</v>
          </cell>
        </row>
        <row r="15">
          <cell r="I15">
            <v>-2489916.8199999998</v>
          </cell>
        </row>
        <row r="16">
          <cell r="I16">
            <v>-26099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-1205</v>
          </cell>
        </row>
        <row r="20">
          <cell r="I20">
            <v>-1029</v>
          </cell>
        </row>
        <row r="21">
          <cell r="I21">
            <v>-4701</v>
          </cell>
        </row>
        <row r="22">
          <cell r="I22">
            <v>-14775</v>
          </cell>
        </row>
        <row r="23">
          <cell r="I23">
            <v>-13526903.771974545</v>
          </cell>
        </row>
        <row r="24">
          <cell r="I24">
            <v>-1143</v>
          </cell>
        </row>
        <row r="25">
          <cell r="I25">
            <v>0</v>
          </cell>
        </row>
        <row r="26">
          <cell r="I26">
            <v>-19835</v>
          </cell>
        </row>
        <row r="27">
          <cell r="I27">
            <v>-19098</v>
          </cell>
        </row>
        <row r="28">
          <cell r="I28">
            <v>-3768</v>
          </cell>
        </row>
        <row r="29">
          <cell r="I29">
            <v>-25325</v>
          </cell>
        </row>
        <row r="30">
          <cell r="I30">
            <v>-34752</v>
          </cell>
        </row>
        <row r="31">
          <cell r="I31">
            <v>0</v>
          </cell>
        </row>
        <row r="32">
          <cell r="I32">
            <v>-255563.26624999999</v>
          </cell>
        </row>
        <row r="33">
          <cell r="I33">
            <v>-1660</v>
          </cell>
        </row>
        <row r="34">
          <cell r="I34">
            <v>-48582</v>
          </cell>
        </row>
        <row r="35">
          <cell r="I35">
            <v>-48166</v>
          </cell>
        </row>
        <row r="36">
          <cell r="I36">
            <v>0</v>
          </cell>
        </row>
        <row r="37">
          <cell r="I37">
            <v>-27269.834999999999</v>
          </cell>
        </row>
        <row r="38">
          <cell r="I38">
            <v>-4569</v>
          </cell>
        </row>
        <row r="39">
          <cell r="I39">
            <v>-19124</v>
          </cell>
        </row>
        <row r="40">
          <cell r="I40">
            <v>-8415</v>
          </cell>
        </row>
        <row r="41">
          <cell r="I41">
            <v>-9029</v>
          </cell>
        </row>
        <row r="42">
          <cell r="I42">
            <v>-111375536.49124999</v>
          </cell>
        </row>
        <row r="43">
          <cell r="I43">
            <v>-25245.58</v>
          </cell>
        </row>
        <row r="44">
          <cell r="I44">
            <v>0</v>
          </cell>
        </row>
        <row r="45">
          <cell r="I45">
            <v>-1179622.720786517</v>
          </cell>
        </row>
        <row r="46">
          <cell r="I46">
            <v>-24840</v>
          </cell>
        </row>
        <row r="47">
          <cell r="I47">
            <v>-1285</v>
          </cell>
        </row>
        <row r="48">
          <cell r="I48">
            <v>-10107</v>
          </cell>
        </row>
        <row r="49">
          <cell r="I49">
            <v>-9875</v>
          </cell>
        </row>
        <row r="50">
          <cell r="I50">
            <v>-10294</v>
          </cell>
        </row>
        <row r="51">
          <cell r="I51">
            <v>-8966</v>
          </cell>
        </row>
        <row r="52">
          <cell r="I52">
            <v>-419447</v>
          </cell>
        </row>
        <row r="53">
          <cell r="I53">
            <v>0</v>
          </cell>
        </row>
        <row r="54">
          <cell r="I54">
            <v>-5663</v>
          </cell>
        </row>
        <row r="55">
          <cell r="I55">
            <v>-20203</v>
          </cell>
        </row>
        <row r="56">
          <cell r="I56">
            <v>-8908</v>
          </cell>
        </row>
        <row r="57">
          <cell r="I57">
            <v>-20921</v>
          </cell>
        </row>
        <row r="58">
          <cell r="I58">
            <v>-46824.182500000003</v>
          </cell>
        </row>
        <row r="59">
          <cell r="I59">
            <v>-14894</v>
          </cell>
        </row>
        <row r="60">
          <cell r="I60">
            <v>0</v>
          </cell>
        </row>
        <row r="61">
          <cell r="I61">
            <v>-18973</v>
          </cell>
        </row>
        <row r="62">
          <cell r="I62">
            <v>-879450.20499999996</v>
          </cell>
        </row>
        <row r="63">
          <cell r="I63">
            <v>-14425</v>
          </cell>
        </row>
        <row r="64">
          <cell r="I64">
            <v>-787</v>
          </cell>
        </row>
        <row r="65">
          <cell r="I65">
            <v>-4263</v>
          </cell>
        </row>
        <row r="66">
          <cell r="I66">
            <v>-7331</v>
          </cell>
        </row>
        <row r="67">
          <cell r="I67">
            <v>-19763</v>
          </cell>
        </row>
        <row r="68">
          <cell r="I68">
            <v>-1069</v>
          </cell>
        </row>
        <row r="69">
          <cell r="I69">
            <v>-2640</v>
          </cell>
        </row>
        <row r="70">
          <cell r="I70">
            <v>-2567</v>
          </cell>
        </row>
        <row r="71">
          <cell r="I71">
            <v>-33556</v>
          </cell>
        </row>
        <row r="72">
          <cell r="I72">
            <v>-4676</v>
          </cell>
        </row>
        <row r="73">
          <cell r="I73">
            <v>-6756.1612500000001</v>
          </cell>
        </row>
        <row r="74">
          <cell r="I74">
            <v>-19663.612499999999</v>
          </cell>
        </row>
        <row r="75">
          <cell r="I75">
            <v>-7913.27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7"/>
  <sheetViews>
    <sheetView tabSelected="1" view="pageBreakPreview" zoomScale="80" zoomScaleNormal="100" zoomScaleSheetLayoutView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J162" sqref="J162"/>
    </sheetView>
  </sheetViews>
  <sheetFormatPr defaultRowHeight="12.75"/>
  <cols>
    <col min="1" max="1" width="6.42578125" style="1" customWidth="1"/>
    <col min="2" max="2" width="43.85546875" style="1" customWidth="1"/>
    <col min="3" max="3" width="12.42578125" style="1" customWidth="1"/>
    <col min="4" max="4" width="11.42578125" style="1" customWidth="1"/>
    <col min="5" max="5" width="14.42578125" style="1" bestFit="1" customWidth="1"/>
    <col min="6" max="7" width="11.5703125" style="1" customWidth="1"/>
    <col min="8" max="8" width="12.140625" style="1" bestFit="1" customWidth="1"/>
    <col min="9" max="9" width="12.5703125" style="1" customWidth="1"/>
    <col min="10" max="15" width="11.140625" style="1" customWidth="1"/>
    <col min="16" max="16384" width="9.140625" style="1"/>
  </cols>
  <sheetData>
    <row r="1" spans="1:15" ht="60" customHeight="1">
      <c r="B1" s="2"/>
      <c r="C1" s="94" t="s">
        <v>0</v>
      </c>
      <c r="D1" s="94"/>
      <c r="E1" s="94"/>
      <c r="F1" s="94"/>
      <c r="G1" s="94"/>
      <c r="H1" s="94"/>
      <c r="I1" s="94"/>
      <c r="J1" s="94" t="s">
        <v>1</v>
      </c>
      <c r="K1" s="94"/>
      <c r="L1" s="94"/>
      <c r="M1" s="94"/>
      <c r="N1" s="94"/>
      <c r="O1" s="94"/>
    </row>
    <row r="2" spans="1:15" ht="51">
      <c r="A2" s="3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5" t="s">
        <v>9</v>
      </c>
      <c r="I2" s="6" t="s">
        <v>10</v>
      </c>
      <c r="J2" s="4" t="s">
        <v>11</v>
      </c>
      <c r="K2" s="7" t="s">
        <v>12</v>
      </c>
      <c r="L2" s="4" t="s">
        <v>13</v>
      </c>
      <c r="M2" s="4" t="s">
        <v>14</v>
      </c>
      <c r="N2" s="4" t="s">
        <v>15</v>
      </c>
      <c r="O2" s="4" t="s">
        <v>16</v>
      </c>
    </row>
    <row r="3" spans="1:15">
      <c r="A3" s="8">
        <v>1</v>
      </c>
      <c r="B3" s="8" t="s">
        <v>17</v>
      </c>
      <c r="C3" s="9">
        <f>69878756+'[1]Local Transfers'!I7</f>
        <v>69876726</v>
      </c>
      <c r="D3" s="9">
        <v>8958717</v>
      </c>
      <c r="E3" s="9">
        <v>6097200</v>
      </c>
      <c r="F3" s="9">
        <v>5828059</v>
      </c>
      <c r="G3" s="9">
        <v>708604</v>
      </c>
      <c r="H3" s="9">
        <v>11552</v>
      </c>
      <c r="I3" s="10">
        <f>SUM(C3:H3)</f>
        <v>91480858</v>
      </c>
      <c r="J3" s="11">
        <f t="shared" ref="J3:O18" si="0">C3/$I3</f>
        <v>0.76383986254260972</v>
      </c>
      <c r="K3" s="12">
        <f t="shared" si="0"/>
        <v>9.79299625720607E-2</v>
      </c>
      <c r="L3" s="11">
        <f t="shared" si="0"/>
        <v>6.6650008901315727E-2</v>
      </c>
      <c r="M3" s="11">
        <f t="shared" si="0"/>
        <v>6.3707961724626588E-2</v>
      </c>
      <c r="N3" s="11">
        <f t="shared" si="0"/>
        <v>7.7459264756786607E-3</v>
      </c>
      <c r="O3" s="11">
        <f t="shared" si="0"/>
        <v>1.2627778370858742E-4</v>
      </c>
    </row>
    <row r="4" spans="1:15">
      <c r="A4" s="13">
        <v>2</v>
      </c>
      <c r="B4" s="8" t="s">
        <v>18</v>
      </c>
      <c r="C4" s="9">
        <f>35325419+'[1]Local Transfers'!I8</f>
        <v>35322787</v>
      </c>
      <c r="D4" s="9">
        <v>2887637</v>
      </c>
      <c r="E4" s="9">
        <v>1917896</v>
      </c>
      <c r="F4" s="9">
        <v>5224551</v>
      </c>
      <c r="G4" s="9">
        <v>1591429</v>
      </c>
      <c r="H4" s="9">
        <v>1216</v>
      </c>
      <c r="I4" s="10">
        <f t="shared" ref="I4:I67" si="1">SUM(C4:H4)</f>
        <v>46945516</v>
      </c>
      <c r="J4" s="11">
        <f t="shared" si="0"/>
        <v>0.75242089148620717</v>
      </c>
      <c r="K4" s="12">
        <f t="shared" si="0"/>
        <v>6.1510390044493282E-2</v>
      </c>
      <c r="L4" s="11">
        <f t="shared" si="0"/>
        <v>4.0853656822091376E-2</v>
      </c>
      <c r="M4" s="11">
        <f t="shared" si="0"/>
        <v>0.11128967034892108</v>
      </c>
      <c r="N4" s="11">
        <f t="shared" si="0"/>
        <v>3.3899488930955624E-2</v>
      </c>
      <c r="O4" s="11">
        <f t="shared" si="0"/>
        <v>2.5902367331525335E-5</v>
      </c>
    </row>
    <row r="5" spans="1:15">
      <c r="A5" s="13">
        <v>3</v>
      </c>
      <c r="B5" s="8" t="s">
        <v>19</v>
      </c>
      <c r="C5" s="9">
        <f>172931416+'[1]Local Transfers'!I9</f>
        <v>172930726</v>
      </c>
      <c r="D5" s="9">
        <v>12595148</v>
      </c>
      <c r="E5" s="9">
        <v>5284598</v>
      </c>
      <c r="F5" s="9">
        <v>9032378</v>
      </c>
      <c r="G5" s="9">
        <v>13138768</v>
      </c>
      <c r="H5" s="9">
        <v>-27167</v>
      </c>
      <c r="I5" s="10">
        <f t="shared" si="1"/>
        <v>212954451</v>
      </c>
      <c r="J5" s="11">
        <f t="shared" si="0"/>
        <v>0.81205499668095693</v>
      </c>
      <c r="K5" s="12">
        <f t="shared" si="0"/>
        <v>5.9144798058247676E-2</v>
      </c>
      <c r="L5" s="11">
        <f t="shared" si="0"/>
        <v>2.4815625948104741E-2</v>
      </c>
      <c r="M5" s="11">
        <f t="shared" si="0"/>
        <v>4.2414600669699078E-2</v>
      </c>
      <c r="N5" s="11">
        <f t="shared" si="0"/>
        <v>6.1697550524548554E-2</v>
      </c>
      <c r="O5" s="11">
        <f t="shared" si="0"/>
        <v>-1.2757188155696262E-4</v>
      </c>
    </row>
    <row r="6" spans="1:15">
      <c r="A6" s="13">
        <v>4</v>
      </c>
      <c r="B6" s="8" t="s">
        <v>20</v>
      </c>
      <c r="C6" s="9">
        <f>34732887+'[1]Local Transfers'!I10</f>
        <v>34724358</v>
      </c>
      <c r="D6" s="9">
        <v>3749952</v>
      </c>
      <c r="E6" s="9">
        <v>2664315</v>
      </c>
      <c r="F6" s="9">
        <v>2951092</v>
      </c>
      <c r="G6" s="9">
        <v>24</v>
      </c>
      <c r="H6" s="9">
        <v>4793</v>
      </c>
      <c r="I6" s="10">
        <f t="shared" si="1"/>
        <v>44094534</v>
      </c>
      <c r="J6" s="11">
        <f t="shared" si="0"/>
        <v>0.78749801506009798</v>
      </c>
      <c r="K6" s="12">
        <f t="shared" si="0"/>
        <v>8.5043465931627718E-2</v>
      </c>
      <c r="L6" s="11">
        <f t="shared" si="0"/>
        <v>6.0422795260745926E-2</v>
      </c>
      <c r="M6" s="11">
        <f t="shared" si="0"/>
        <v>6.692648118245223E-2</v>
      </c>
      <c r="N6" s="11">
        <f t="shared" si="0"/>
        <v>5.4428514881232221E-7</v>
      </c>
      <c r="O6" s="11">
        <f t="shared" si="0"/>
        <v>1.0869827992739418E-4</v>
      </c>
    </row>
    <row r="7" spans="1:15">
      <c r="A7" s="13">
        <v>5</v>
      </c>
      <c r="B7" s="14" t="s">
        <v>21</v>
      </c>
      <c r="C7" s="15">
        <f>36961054+'[1]Local Transfers'!I11</f>
        <v>36954950</v>
      </c>
      <c r="D7" s="15">
        <v>3133620</v>
      </c>
      <c r="E7" s="15">
        <v>5741530</v>
      </c>
      <c r="F7" s="15">
        <v>6914962</v>
      </c>
      <c r="G7" s="15">
        <v>559</v>
      </c>
      <c r="H7" s="15">
        <v>47869</v>
      </c>
      <c r="I7" s="16">
        <f t="shared" si="1"/>
        <v>52793490</v>
      </c>
      <c r="J7" s="17">
        <f t="shared" si="0"/>
        <v>0.6999906617274213</v>
      </c>
      <c r="K7" s="18">
        <f t="shared" si="0"/>
        <v>5.9356181983801409E-2</v>
      </c>
      <c r="L7" s="17">
        <f t="shared" si="0"/>
        <v>0.10875450742127486</v>
      </c>
      <c r="M7" s="17">
        <f t="shared" si="0"/>
        <v>0.13098133879764343</v>
      </c>
      <c r="N7" s="17">
        <f t="shared" si="0"/>
        <v>1.0588426717006207E-5</v>
      </c>
      <c r="O7" s="17">
        <f t="shared" si="0"/>
        <v>9.0672164314198583E-4</v>
      </c>
    </row>
    <row r="8" spans="1:15">
      <c r="A8" s="13">
        <v>6</v>
      </c>
      <c r="B8" s="19" t="s">
        <v>22</v>
      </c>
      <c r="C8" s="9">
        <f>51953744+'[1]Local Transfers'!I12</f>
        <v>51945849</v>
      </c>
      <c r="D8" s="9">
        <v>3668365</v>
      </c>
      <c r="E8" s="9">
        <v>2289091</v>
      </c>
      <c r="F8" s="9">
        <v>2493931</v>
      </c>
      <c r="G8" s="9">
        <v>3433925</v>
      </c>
      <c r="H8" s="9">
        <v>53324</v>
      </c>
      <c r="I8" s="10">
        <f t="shared" si="1"/>
        <v>63884485</v>
      </c>
      <c r="J8" s="11">
        <f t="shared" si="0"/>
        <v>0.81312151142800948</v>
      </c>
      <c r="K8" s="12">
        <f t="shared" si="0"/>
        <v>5.7421845069268382E-2</v>
      </c>
      <c r="L8" s="11">
        <f t="shared" si="0"/>
        <v>3.5831720330844023E-2</v>
      </c>
      <c r="M8" s="11">
        <f t="shared" si="0"/>
        <v>3.9038132654587415E-2</v>
      </c>
      <c r="N8" s="11">
        <f t="shared" si="0"/>
        <v>5.3752096459727269E-2</v>
      </c>
      <c r="O8" s="11">
        <f t="shared" si="0"/>
        <v>8.3469405756342872E-4</v>
      </c>
    </row>
    <row r="9" spans="1:15">
      <c r="A9" s="13">
        <v>7</v>
      </c>
      <c r="B9" s="8" t="s">
        <v>23</v>
      </c>
      <c r="C9" s="9">
        <f>25767227+'[1]Local Transfers'!I13</f>
        <v>25767227</v>
      </c>
      <c r="D9" s="9">
        <v>1449918</v>
      </c>
      <c r="E9" s="9">
        <v>1626338</v>
      </c>
      <c r="F9" s="9">
        <v>10085828</v>
      </c>
      <c r="G9" s="9">
        <v>1356611</v>
      </c>
      <c r="H9" s="9">
        <v>3031</v>
      </c>
      <c r="I9" s="10">
        <f t="shared" si="1"/>
        <v>40288953</v>
      </c>
      <c r="J9" s="11">
        <f t="shared" si="0"/>
        <v>0.63956060114046642</v>
      </c>
      <c r="K9" s="12">
        <f t="shared" si="0"/>
        <v>3.5987979136613453E-2</v>
      </c>
      <c r="L9" s="11">
        <f t="shared" si="0"/>
        <v>4.0366846961746562E-2</v>
      </c>
      <c r="M9" s="11">
        <f t="shared" si="0"/>
        <v>0.25033730710252011</v>
      </c>
      <c r="N9" s="11">
        <f t="shared" si="0"/>
        <v>3.3672034118136553E-2</v>
      </c>
      <c r="O9" s="11">
        <f t="shared" si="0"/>
        <v>7.5231540516826039E-5</v>
      </c>
    </row>
    <row r="10" spans="1:15">
      <c r="A10" s="13">
        <v>8</v>
      </c>
      <c r="B10" s="8" t="s">
        <v>24</v>
      </c>
      <c r="C10" s="9">
        <f>108374937+'[1]Local Transfers'!I14</f>
        <v>108363431</v>
      </c>
      <c r="D10" s="9">
        <v>12230356</v>
      </c>
      <c r="E10" s="9">
        <v>7553800</v>
      </c>
      <c r="F10" s="9">
        <v>82299459</v>
      </c>
      <c r="G10" s="9">
        <v>11211860</v>
      </c>
      <c r="H10" s="9">
        <v>28541</v>
      </c>
      <c r="I10" s="10">
        <f t="shared" si="1"/>
        <v>221687447</v>
      </c>
      <c r="J10" s="11">
        <f t="shared" si="0"/>
        <v>0.48881175937760696</v>
      </c>
      <c r="K10" s="12">
        <f t="shared" si="0"/>
        <v>5.5169366445904353E-2</v>
      </c>
      <c r="L10" s="11">
        <f t="shared" si="0"/>
        <v>3.4074098927216211E-2</v>
      </c>
      <c r="M10" s="11">
        <f t="shared" si="0"/>
        <v>0.37124095258312034</v>
      </c>
      <c r="N10" s="11">
        <f t="shared" si="0"/>
        <v>5.0575078344422451E-2</v>
      </c>
      <c r="O10" s="11">
        <f t="shared" si="0"/>
        <v>1.2874432172968277E-4</v>
      </c>
    </row>
    <row r="11" spans="1:15">
      <c r="A11" s="13">
        <v>9</v>
      </c>
      <c r="B11" s="8" t="s">
        <v>25</v>
      </c>
      <c r="C11" s="9">
        <f>370222644+'[1]Local Transfers'!I15</f>
        <v>367732727.18000001</v>
      </c>
      <c r="D11" s="9">
        <v>28381579</v>
      </c>
      <c r="E11" s="9">
        <v>30065658</v>
      </c>
      <c r="F11" s="9">
        <v>28196551</v>
      </c>
      <c r="G11" s="9">
        <v>10934031</v>
      </c>
      <c r="H11" s="9">
        <v>17527157</v>
      </c>
      <c r="I11" s="10">
        <f t="shared" si="1"/>
        <v>482837703.18000001</v>
      </c>
      <c r="J11" s="11">
        <f t="shared" si="0"/>
        <v>0.76160731599477161</v>
      </c>
      <c r="K11" s="12">
        <f t="shared" si="0"/>
        <v>5.8780784543288778E-2</v>
      </c>
      <c r="L11" s="11">
        <f t="shared" si="0"/>
        <v>6.2268662538127517E-2</v>
      </c>
      <c r="M11" s="11">
        <f t="shared" si="0"/>
        <v>5.8397575032553821E-2</v>
      </c>
      <c r="N11" s="11">
        <f t="shared" si="0"/>
        <v>2.2645354594282453E-2</v>
      </c>
      <c r="O11" s="11">
        <f t="shared" si="0"/>
        <v>3.6300307296975823E-2</v>
      </c>
    </row>
    <row r="12" spans="1:15">
      <c r="A12" s="13">
        <v>10</v>
      </c>
      <c r="B12" s="14" t="s">
        <v>26</v>
      </c>
      <c r="C12" s="15">
        <f>263761778+'[1]Local Transfers'!I16</f>
        <v>263735679</v>
      </c>
      <c r="D12" s="15">
        <v>29326356</v>
      </c>
      <c r="E12" s="15">
        <v>13792041</v>
      </c>
      <c r="F12" s="15">
        <v>12278859</v>
      </c>
      <c r="G12" s="15">
        <v>21422082</v>
      </c>
      <c r="H12" s="15">
        <v>5464522</v>
      </c>
      <c r="I12" s="16">
        <f t="shared" si="1"/>
        <v>346019539</v>
      </c>
      <c r="J12" s="17">
        <f t="shared" si="0"/>
        <v>0.76219880461721556</v>
      </c>
      <c r="K12" s="18">
        <f t="shared" si="0"/>
        <v>8.4753468213828231E-2</v>
      </c>
      <c r="L12" s="17">
        <f t="shared" si="0"/>
        <v>3.98591392840391E-2</v>
      </c>
      <c r="M12" s="17">
        <f t="shared" si="0"/>
        <v>3.5486027856941341E-2</v>
      </c>
      <c r="N12" s="17">
        <f t="shared" si="0"/>
        <v>6.1910035664199878E-2</v>
      </c>
      <c r="O12" s="17">
        <f t="shared" si="0"/>
        <v>1.5792524363775887E-2</v>
      </c>
    </row>
    <row r="13" spans="1:15">
      <c r="A13" s="13">
        <v>11</v>
      </c>
      <c r="B13" s="8" t="s">
        <v>27</v>
      </c>
      <c r="C13" s="9">
        <f>12519525+'[1]Local Transfers'!I17</f>
        <v>12519525</v>
      </c>
      <c r="D13" s="9">
        <v>1452598</v>
      </c>
      <c r="E13" s="9">
        <v>644367</v>
      </c>
      <c r="F13" s="9">
        <v>4085335</v>
      </c>
      <c r="G13" s="9">
        <v>1334305</v>
      </c>
      <c r="H13" s="9">
        <v>17197</v>
      </c>
      <c r="I13" s="10">
        <f t="shared" si="1"/>
        <v>20053327</v>
      </c>
      <c r="J13" s="11">
        <f t="shared" si="0"/>
        <v>0.62431161672075663</v>
      </c>
      <c r="K13" s="12">
        <f t="shared" si="0"/>
        <v>7.2436758249641076E-2</v>
      </c>
      <c r="L13" s="11">
        <f t="shared" si="0"/>
        <v>3.213267304722054E-2</v>
      </c>
      <c r="M13" s="11">
        <f t="shared" si="0"/>
        <v>0.20372355170790363</v>
      </c>
      <c r="N13" s="11">
        <f t="shared" si="0"/>
        <v>6.6537836838745007E-2</v>
      </c>
      <c r="O13" s="11">
        <f t="shared" si="0"/>
        <v>8.5756343573313294E-4</v>
      </c>
    </row>
    <row r="14" spans="1:15">
      <c r="A14" s="13">
        <v>12</v>
      </c>
      <c r="B14" s="8" t="s">
        <v>28</v>
      </c>
      <c r="C14" s="9">
        <f>17294942+'[1]Local Transfers'!I18</f>
        <v>17294942</v>
      </c>
      <c r="D14" s="9">
        <v>460620</v>
      </c>
      <c r="E14" s="9">
        <v>391038</v>
      </c>
      <c r="F14" s="9">
        <v>12956583</v>
      </c>
      <c r="G14" s="9">
        <v>867897</v>
      </c>
      <c r="H14" s="9">
        <v>614</v>
      </c>
      <c r="I14" s="10">
        <f t="shared" si="1"/>
        <v>31971694</v>
      </c>
      <c r="J14" s="11">
        <f t="shared" si="0"/>
        <v>0.54094543754860158</v>
      </c>
      <c r="K14" s="12">
        <f t="shared" si="0"/>
        <v>1.440711899719796E-2</v>
      </c>
      <c r="L14" s="11">
        <f t="shared" si="0"/>
        <v>1.223075636843015E-2</v>
      </c>
      <c r="M14" s="11">
        <f t="shared" si="0"/>
        <v>0.40525168919732563</v>
      </c>
      <c r="N14" s="11">
        <f t="shared" si="0"/>
        <v>2.7145793400875161E-2</v>
      </c>
      <c r="O14" s="11">
        <f t="shared" si="0"/>
        <v>1.9204487569535728E-5</v>
      </c>
    </row>
    <row r="15" spans="1:15">
      <c r="A15" s="13">
        <v>13</v>
      </c>
      <c r="B15" s="8" t="s">
        <v>29</v>
      </c>
      <c r="C15" s="9">
        <f>12707418+'[1]Local Transfers'!I19</f>
        <v>12706213</v>
      </c>
      <c r="D15" s="9">
        <v>1513911</v>
      </c>
      <c r="E15" s="9">
        <v>1429736</v>
      </c>
      <c r="F15" s="9">
        <v>1796251</v>
      </c>
      <c r="G15" s="9">
        <v>173672</v>
      </c>
      <c r="H15" s="9">
        <v>361</v>
      </c>
      <c r="I15" s="10">
        <f t="shared" si="1"/>
        <v>17620144</v>
      </c>
      <c r="J15" s="11">
        <f t="shared" si="0"/>
        <v>0.72111856747595249</v>
      </c>
      <c r="K15" s="12">
        <f t="shared" si="0"/>
        <v>8.5919331873791721E-2</v>
      </c>
      <c r="L15" s="11">
        <f t="shared" si="0"/>
        <v>8.1142129144915046E-2</v>
      </c>
      <c r="M15" s="11">
        <f t="shared" si="0"/>
        <v>0.10194303746893328</v>
      </c>
      <c r="N15" s="11">
        <f t="shared" si="0"/>
        <v>9.8564461221202285E-3</v>
      </c>
      <c r="O15" s="11">
        <f t="shared" si="0"/>
        <v>2.0487914287193113E-5</v>
      </c>
    </row>
    <row r="16" spans="1:15">
      <c r="A16" s="13">
        <v>14</v>
      </c>
      <c r="B16" s="8" t="s">
        <v>30</v>
      </c>
      <c r="C16" s="9">
        <f>15054434+'[1]Local Transfers'!I20</f>
        <v>15053405</v>
      </c>
      <c r="D16" s="9">
        <v>1536651</v>
      </c>
      <c r="E16" s="9">
        <v>1840749</v>
      </c>
      <c r="F16" s="9">
        <v>5598691</v>
      </c>
      <c r="G16" s="9">
        <v>1218321</v>
      </c>
      <c r="H16" s="9">
        <v>12</v>
      </c>
      <c r="I16" s="10">
        <f t="shared" si="1"/>
        <v>25247829</v>
      </c>
      <c r="J16" s="11">
        <f t="shared" si="0"/>
        <v>0.59622571905093302</v>
      </c>
      <c r="K16" s="12">
        <f t="shared" si="0"/>
        <v>6.0862698333389378E-2</v>
      </c>
      <c r="L16" s="11">
        <f t="shared" si="0"/>
        <v>7.2907219072182408E-2</v>
      </c>
      <c r="M16" s="11">
        <f t="shared" si="0"/>
        <v>0.22174940269121754</v>
      </c>
      <c r="N16" s="11">
        <f t="shared" si="0"/>
        <v>4.8254485563887492E-2</v>
      </c>
      <c r="O16" s="11">
        <f t="shared" si="0"/>
        <v>4.7528839014237618E-7</v>
      </c>
    </row>
    <row r="17" spans="1:15">
      <c r="A17" s="13">
        <v>15</v>
      </c>
      <c r="B17" s="14" t="s">
        <v>31</v>
      </c>
      <c r="C17" s="15">
        <f>26988415+'[1]Local Transfers'!I21</f>
        <v>26983714</v>
      </c>
      <c r="D17" s="15">
        <v>2109394</v>
      </c>
      <c r="E17" s="15">
        <v>3561961</v>
      </c>
      <c r="F17" s="15">
        <v>7781513</v>
      </c>
      <c r="G17" s="15">
        <v>1957</v>
      </c>
      <c r="H17" s="15">
        <v>0</v>
      </c>
      <c r="I17" s="16">
        <f t="shared" si="1"/>
        <v>40438539</v>
      </c>
      <c r="J17" s="17">
        <f t="shared" si="0"/>
        <v>0.66727717339145209</v>
      </c>
      <c r="K17" s="18">
        <f t="shared" si="0"/>
        <v>5.216296266291915E-2</v>
      </c>
      <c r="L17" s="17">
        <f t="shared" si="0"/>
        <v>8.8083325661196615E-2</v>
      </c>
      <c r="M17" s="17">
        <f t="shared" si="0"/>
        <v>0.19242814385554335</v>
      </c>
      <c r="N17" s="17">
        <f t="shared" si="0"/>
        <v>4.8394428888739029E-5</v>
      </c>
      <c r="O17" s="17">
        <f t="shared" si="0"/>
        <v>0</v>
      </c>
    </row>
    <row r="18" spans="1:15">
      <c r="A18" s="13">
        <v>16</v>
      </c>
      <c r="B18" s="19" t="s">
        <v>32</v>
      </c>
      <c r="C18" s="9">
        <f>78634115+'[1]Local Transfers'!I22</f>
        <v>78619340</v>
      </c>
      <c r="D18" s="9">
        <v>4202816</v>
      </c>
      <c r="E18" s="9">
        <v>3182442</v>
      </c>
      <c r="F18" s="9">
        <v>8040240</v>
      </c>
      <c r="G18" s="9">
        <v>5271541</v>
      </c>
      <c r="H18" s="9">
        <v>29619468</v>
      </c>
      <c r="I18" s="10">
        <f t="shared" si="1"/>
        <v>128935847</v>
      </c>
      <c r="J18" s="11">
        <f t="shared" si="0"/>
        <v>0.60975548560983195</v>
      </c>
      <c r="K18" s="12">
        <f t="shared" si="0"/>
        <v>3.2596179400752684E-2</v>
      </c>
      <c r="L18" s="11">
        <f t="shared" si="0"/>
        <v>2.4682367813506512E-2</v>
      </c>
      <c r="M18" s="11">
        <f t="shared" si="0"/>
        <v>6.2358453347733468E-2</v>
      </c>
      <c r="N18" s="11">
        <f t="shared" si="0"/>
        <v>4.08849914329876E-2</v>
      </c>
      <c r="O18" s="11">
        <f t="shared" si="0"/>
        <v>0.22972252239518773</v>
      </c>
    </row>
    <row r="19" spans="1:15">
      <c r="A19" s="13">
        <v>17</v>
      </c>
      <c r="B19" s="8" t="s">
        <v>33</v>
      </c>
      <c r="C19" s="9">
        <f>382759299+'[1]Local Transfers'!I23</f>
        <v>369232395.22802544</v>
      </c>
      <c r="D19" s="9">
        <v>33581561</v>
      </c>
      <c r="E19" s="9">
        <v>43564046</v>
      </c>
      <c r="F19" s="9">
        <v>63512136</v>
      </c>
      <c r="G19" s="9">
        <v>0</v>
      </c>
      <c r="H19" s="9">
        <v>35907398</v>
      </c>
      <c r="I19" s="10">
        <f t="shared" si="1"/>
        <v>545797536.22802544</v>
      </c>
      <c r="J19" s="11">
        <f t="shared" ref="J19:O61" si="2">C19/$I19</f>
        <v>0.67650066319421065</v>
      </c>
      <c r="K19" s="12">
        <f t="shared" si="2"/>
        <v>6.1527505660945607E-2</v>
      </c>
      <c r="L19" s="11">
        <f t="shared" si="2"/>
        <v>7.9817227283707715E-2</v>
      </c>
      <c r="M19" s="11">
        <f t="shared" si="2"/>
        <v>0.1163657433101084</v>
      </c>
      <c r="N19" s="11">
        <f t="shared" si="2"/>
        <v>0</v>
      </c>
      <c r="O19" s="11">
        <f t="shared" si="2"/>
        <v>6.5788860551027603E-2</v>
      </c>
    </row>
    <row r="20" spans="1:15">
      <c r="A20" s="13">
        <v>18</v>
      </c>
      <c r="B20" s="8" t="s">
        <v>34</v>
      </c>
      <c r="C20" s="9">
        <f>10363822+'[1]Local Transfers'!I24</f>
        <v>10362679</v>
      </c>
      <c r="D20" s="9">
        <v>864889</v>
      </c>
      <c r="E20" s="9">
        <v>2118834</v>
      </c>
      <c r="F20" s="9">
        <v>983408</v>
      </c>
      <c r="G20" s="9">
        <v>0</v>
      </c>
      <c r="H20" s="9">
        <v>853</v>
      </c>
      <c r="I20" s="10">
        <f t="shared" si="1"/>
        <v>14330663</v>
      </c>
      <c r="J20" s="11">
        <f t="shared" si="2"/>
        <v>0.72311232215843746</v>
      </c>
      <c r="K20" s="12">
        <f t="shared" si="2"/>
        <v>6.0352336803956665E-2</v>
      </c>
      <c r="L20" s="11">
        <f t="shared" si="2"/>
        <v>0.14785317329700656</v>
      </c>
      <c r="M20" s="11">
        <f t="shared" si="2"/>
        <v>6.8622645023471693E-2</v>
      </c>
      <c r="N20" s="11">
        <f t="shared" si="2"/>
        <v>0</v>
      </c>
      <c r="O20" s="11">
        <f t="shared" si="2"/>
        <v>5.9522717127602537E-5</v>
      </c>
    </row>
    <row r="21" spans="1:15">
      <c r="A21" s="13">
        <v>19</v>
      </c>
      <c r="B21" s="8" t="s">
        <v>35</v>
      </c>
      <c r="C21" s="9">
        <f>16043579+'[1]Local Transfers'!I25</f>
        <v>16043579</v>
      </c>
      <c r="D21" s="9">
        <v>1251019</v>
      </c>
      <c r="E21" s="9">
        <v>2807642</v>
      </c>
      <c r="F21" s="9">
        <v>2128608</v>
      </c>
      <c r="G21" s="9">
        <v>0</v>
      </c>
      <c r="H21" s="9">
        <v>0</v>
      </c>
      <c r="I21" s="10">
        <f t="shared" si="1"/>
        <v>22230848</v>
      </c>
      <c r="J21" s="11">
        <f t="shared" si="2"/>
        <v>0.72168092733124711</v>
      </c>
      <c r="K21" s="12">
        <f t="shared" si="2"/>
        <v>5.6274011679626437E-2</v>
      </c>
      <c r="L21" s="11">
        <f t="shared" si="2"/>
        <v>0.12629486738427612</v>
      </c>
      <c r="M21" s="11">
        <f t="shared" si="2"/>
        <v>9.5750193604850348E-2</v>
      </c>
      <c r="N21" s="11">
        <f t="shared" si="2"/>
        <v>0</v>
      </c>
      <c r="O21" s="11">
        <f t="shared" si="2"/>
        <v>0</v>
      </c>
    </row>
    <row r="22" spans="1:15">
      <c r="A22" s="13">
        <v>20</v>
      </c>
      <c r="B22" s="14" t="s">
        <v>36</v>
      </c>
      <c r="C22" s="15">
        <f>46422770+'[1]Local Transfers'!I26</f>
        <v>46402935</v>
      </c>
      <c r="D22" s="15">
        <v>4776875</v>
      </c>
      <c r="E22" s="15">
        <v>4976143</v>
      </c>
      <c r="F22" s="15">
        <v>3670048</v>
      </c>
      <c r="G22" s="15">
        <v>405601</v>
      </c>
      <c r="H22" s="15">
        <v>29678</v>
      </c>
      <c r="I22" s="16">
        <f t="shared" si="1"/>
        <v>60261280</v>
      </c>
      <c r="J22" s="17">
        <f t="shared" si="2"/>
        <v>0.77002903024960634</v>
      </c>
      <c r="K22" s="18">
        <f t="shared" si="2"/>
        <v>7.926939155623644E-2</v>
      </c>
      <c r="L22" s="17">
        <f t="shared" si="2"/>
        <v>8.2576125166939698E-2</v>
      </c>
      <c r="M22" s="17">
        <f t="shared" si="2"/>
        <v>6.090225763541697E-2</v>
      </c>
      <c r="N22" s="17">
        <f t="shared" si="2"/>
        <v>6.7307066826326955E-3</v>
      </c>
      <c r="O22" s="17">
        <f t="shared" si="2"/>
        <v>4.9248870916781054E-4</v>
      </c>
    </row>
    <row r="23" spans="1:15">
      <c r="A23" s="13">
        <v>21</v>
      </c>
      <c r="B23" s="8" t="s">
        <v>37</v>
      </c>
      <c r="C23" s="9">
        <f>22652272+'[1]Local Transfers'!I27</f>
        <v>22633174</v>
      </c>
      <c r="D23" s="9">
        <v>3273191</v>
      </c>
      <c r="E23" s="9">
        <v>3743465</v>
      </c>
      <c r="F23" s="9">
        <v>1716093</v>
      </c>
      <c r="G23" s="9">
        <v>3788</v>
      </c>
      <c r="H23" s="9">
        <v>2192272</v>
      </c>
      <c r="I23" s="10">
        <f t="shared" si="1"/>
        <v>33561983</v>
      </c>
      <c r="J23" s="11">
        <f t="shared" si="2"/>
        <v>0.67436938991358164</v>
      </c>
      <c r="K23" s="12">
        <f t="shared" si="2"/>
        <v>9.7526746259301786E-2</v>
      </c>
      <c r="L23" s="11">
        <f t="shared" si="2"/>
        <v>0.1115388503712668</v>
      </c>
      <c r="M23" s="11">
        <f t="shared" si="2"/>
        <v>5.1132050212885215E-2</v>
      </c>
      <c r="N23" s="11">
        <f t="shared" si="2"/>
        <v>1.1286579818600111E-4</v>
      </c>
      <c r="O23" s="11">
        <f t="shared" si="2"/>
        <v>6.5320097444778513E-2</v>
      </c>
    </row>
    <row r="24" spans="1:15">
      <c r="A24" s="13">
        <v>22</v>
      </c>
      <c r="B24" s="8" t="s">
        <v>38</v>
      </c>
      <c r="C24" s="9">
        <f>22881827+'[1]Local Transfers'!I28</f>
        <v>22878059</v>
      </c>
      <c r="D24" s="9">
        <v>1939850</v>
      </c>
      <c r="E24" s="9">
        <v>1306111</v>
      </c>
      <c r="F24" s="9">
        <v>2993551</v>
      </c>
      <c r="G24" s="9">
        <v>1207694</v>
      </c>
      <c r="H24" s="9">
        <v>1105925</v>
      </c>
      <c r="I24" s="10">
        <f t="shared" si="1"/>
        <v>31431190</v>
      </c>
      <c r="J24" s="11">
        <f t="shared" si="2"/>
        <v>0.72787759547125008</v>
      </c>
      <c r="K24" s="12">
        <f t="shared" si="2"/>
        <v>6.1717357821959654E-2</v>
      </c>
      <c r="L24" s="11">
        <f t="shared" si="2"/>
        <v>4.155461501775784E-2</v>
      </c>
      <c r="M24" s="11">
        <f t="shared" si="2"/>
        <v>9.5241414658496865E-2</v>
      </c>
      <c r="N24" s="11">
        <f t="shared" si="2"/>
        <v>3.842342590274183E-2</v>
      </c>
      <c r="O24" s="11">
        <f t="shared" si="2"/>
        <v>3.5185591127793764E-2</v>
      </c>
    </row>
    <row r="25" spans="1:15">
      <c r="A25" s="13">
        <v>23</v>
      </c>
      <c r="B25" s="8" t="s">
        <v>39</v>
      </c>
      <c r="C25" s="9">
        <f>100647113+'[1]Local Transfers'!I29</f>
        <v>100621788</v>
      </c>
      <c r="D25" s="9">
        <v>10161496</v>
      </c>
      <c r="E25" s="9">
        <v>8310366</v>
      </c>
      <c r="F25" s="9">
        <v>12924082</v>
      </c>
      <c r="G25" s="9">
        <v>11268908</v>
      </c>
      <c r="H25" s="9">
        <v>600399</v>
      </c>
      <c r="I25" s="10">
        <f t="shared" si="1"/>
        <v>143887039</v>
      </c>
      <c r="J25" s="11">
        <f t="shared" si="2"/>
        <v>0.69931099214572068</v>
      </c>
      <c r="K25" s="12">
        <f t="shared" si="2"/>
        <v>7.0621343455403232E-2</v>
      </c>
      <c r="L25" s="11">
        <f t="shared" si="2"/>
        <v>5.7756181917121806E-2</v>
      </c>
      <c r="M25" s="11">
        <f t="shared" si="2"/>
        <v>8.982102967592516E-2</v>
      </c>
      <c r="N25" s="11">
        <f t="shared" si="2"/>
        <v>7.8317742017055478E-2</v>
      </c>
      <c r="O25" s="11">
        <f t="shared" si="2"/>
        <v>4.1727107887736849E-3</v>
      </c>
    </row>
    <row r="26" spans="1:15">
      <c r="A26" s="13">
        <v>24</v>
      </c>
      <c r="B26" s="8" t="s">
        <v>40</v>
      </c>
      <c r="C26" s="9">
        <f>40909748+'[1]Local Transfers'!I30</f>
        <v>40874996</v>
      </c>
      <c r="D26" s="9">
        <v>3489724</v>
      </c>
      <c r="E26" s="9">
        <v>2708317</v>
      </c>
      <c r="F26" s="9">
        <v>19043796</v>
      </c>
      <c r="G26" s="9">
        <v>3127459</v>
      </c>
      <c r="H26" s="9">
        <v>0</v>
      </c>
      <c r="I26" s="10">
        <f t="shared" si="1"/>
        <v>69244292</v>
      </c>
      <c r="J26" s="11">
        <f t="shared" si="2"/>
        <v>0.59030130599068009</v>
      </c>
      <c r="K26" s="12">
        <f t="shared" si="2"/>
        <v>5.039728039966096E-2</v>
      </c>
      <c r="L26" s="11">
        <f t="shared" si="2"/>
        <v>3.9112494644323897E-2</v>
      </c>
      <c r="M26" s="11">
        <f t="shared" si="2"/>
        <v>0.2750233333312152</v>
      </c>
      <c r="N26" s="11">
        <f t="shared" si="2"/>
        <v>4.5165585634119848E-2</v>
      </c>
      <c r="O26" s="11">
        <f t="shared" si="2"/>
        <v>0</v>
      </c>
    </row>
    <row r="27" spans="1:15">
      <c r="A27" s="13">
        <v>25</v>
      </c>
      <c r="B27" s="14" t="s">
        <v>41</v>
      </c>
      <c r="C27" s="15">
        <f>22044373+'[1]Local Transfers'!I31</f>
        <v>22044373</v>
      </c>
      <c r="D27" s="15">
        <v>1278323</v>
      </c>
      <c r="E27" s="15">
        <v>1180931</v>
      </c>
      <c r="F27" s="15">
        <v>1272003</v>
      </c>
      <c r="G27" s="15">
        <v>1522993</v>
      </c>
      <c r="H27" s="15">
        <v>36203</v>
      </c>
      <c r="I27" s="16">
        <f t="shared" si="1"/>
        <v>27334826</v>
      </c>
      <c r="J27" s="17">
        <f t="shared" si="2"/>
        <v>0.80645741077700661</v>
      </c>
      <c r="K27" s="18">
        <f t="shared" si="2"/>
        <v>4.6765360789199829E-2</v>
      </c>
      <c r="L27" s="17">
        <f t="shared" si="2"/>
        <v>4.3202433408575568E-2</v>
      </c>
      <c r="M27" s="17">
        <f t="shared" si="2"/>
        <v>4.6534153903156364E-2</v>
      </c>
      <c r="N27" s="17">
        <f t="shared" si="2"/>
        <v>5.5716213448733863E-2</v>
      </c>
      <c r="O27" s="17">
        <f t="shared" si="2"/>
        <v>1.3244276733277906E-3</v>
      </c>
    </row>
    <row r="28" spans="1:15">
      <c r="A28" s="13">
        <v>26</v>
      </c>
      <c r="B28" s="19" t="s">
        <v>42</v>
      </c>
      <c r="C28" s="9">
        <f>404385007+'[1]Local Transfers'!I32</f>
        <v>404129443.73374999</v>
      </c>
      <c r="D28" s="9">
        <v>73677618</v>
      </c>
      <c r="E28" s="9">
        <v>31137649</v>
      </c>
      <c r="F28" s="9">
        <v>35507139</v>
      </c>
      <c r="G28" s="9">
        <v>37610</v>
      </c>
      <c r="H28" s="9">
        <v>27277847</v>
      </c>
      <c r="I28" s="10">
        <f t="shared" si="1"/>
        <v>571767306.73374999</v>
      </c>
      <c r="J28" s="11">
        <f t="shared" si="2"/>
        <v>0.70680754036525828</v>
      </c>
      <c r="K28" s="12">
        <f t="shared" si="2"/>
        <v>0.12885944532381041</v>
      </c>
      <c r="L28" s="11">
        <f t="shared" si="2"/>
        <v>5.4458603409620276E-2</v>
      </c>
      <c r="M28" s="11">
        <f t="shared" si="2"/>
        <v>6.2100680787148095E-2</v>
      </c>
      <c r="N28" s="11">
        <f t="shared" si="2"/>
        <v>6.577850737015562E-5</v>
      </c>
      <c r="O28" s="11">
        <f t="shared" si="2"/>
        <v>4.7707951606792802E-2</v>
      </c>
    </row>
    <row r="29" spans="1:15">
      <c r="A29" s="13">
        <v>27</v>
      </c>
      <c r="B29" s="8" t="s">
        <v>43</v>
      </c>
      <c r="C29" s="9">
        <f>46666655+'[1]Local Transfers'!I33</f>
        <v>46664995</v>
      </c>
      <c r="D29" s="9">
        <v>4475161</v>
      </c>
      <c r="E29" s="9">
        <v>2367175</v>
      </c>
      <c r="F29" s="9">
        <v>6191803</v>
      </c>
      <c r="G29" s="9">
        <v>3327361</v>
      </c>
      <c r="H29" s="9">
        <v>2169</v>
      </c>
      <c r="I29" s="10">
        <f t="shared" si="1"/>
        <v>63028664</v>
      </c>
      <c r="J29" s="11">
        <f t="shared" si="2"/>
        <v>0.74037734640861175</v>
      </c>
      <c r="K29" s="12">
        <f t="shared" si="2"/>
        <v>7.1001996805770781E-2</v>
      </c>
      <c r="L29" s="11">
        <f t="shared" si="2"/>
        <v>3.7557118456453403E-2</v>
      </c>
      <c r="M29" s="11">
        <f t="shared" si="2"/>
        <v>9.8237890620686483E-2</v>
      </c>
      <c r="N29" s="11">
        <f t="shared" si="2"/>
        <v>5.2791234794378632E-2</v>
      </c>
      <c r="O29" s="11">
        <f t="shared" si="2"/>
        <v>3.4412914098893165E-5</v>
      </c>
    </row>
    <row r="30" spans="1:15">
      <c r="A30" s="13">
        <v>28</v>
      </c>
      <c r="B30" s="8" t="s">
        <v>44</v>
      </c>
      <c r="C30" s="9">
        <f>227673962+'[1]Local Transfers'!I34</f>
        <v>227625380</v>
      </c>
      <c r="D30" s="9">
        <v>24813322</v>
      </c>
      <c r="E30" s="9">
        <v>16213776</v>
      </c>
      <c r="F30" s="9">
        <v>39972999</v>
      </c>
      <c r="G30" s="9">
        <v>7601467</v>
      </c>
      <c r="H30" s="9">
        <v>11626449</v>
      </c>
      <c r="I30" s="10">
        <f t="shared" si="1"/>
        <v>327853393</v>
      </c>
      <c r="J30" s="11">
        <f t="shared" si="2"/>
        <v>0.69429014571766223</v>
      </c>
      <c r="K30" s="12">
        <f t="shared" si="2"/>
        <v>7.5684200712237248E-2</v>
      </c>
      <c r="L30" s="11">
        <f t="shared" si="2"/>
        <v>4.9454348639301711E-2</v>
      </c>
      <c r="M30" s="11">
        <f t="shared" si="2"/>
        <v>0.12192339580270868</v>
      </c>
      <c r="N30" s="11">
        <f t="shared" si="2"/>
        <v>2.3185567580811951E-2</v>
      </c>
      <c r="O30" s="11">
        <f t="shared" si="2"/>
        <v>3.5462341547278113E-2</v>
      </c>
    </row>
    <row r="31" spans="1:15">
      <c r="A31" s="13">
        <v>29</v>
      </c>
      <c r="B31" s="8" t="s">
        <v>45</v>
      </c>
      <c r="C31" s="9">
        <f>105088454+'[1]Local Transfers'!I35</f>
        <v>105040288</v>
      </c>
      <c r="D31" s="9">
        <v>12617723</v>
      </c>
      <c r="E31" s="9">
        <v>8199363</v>
      </c>
      <c r="F31" s="9">
        <v>20682802</v>
      </c>
      <c r="G31" s="9">
        <v>12268871</v>
      </c>
      <c r="H31" s="9">
        <f>-833571-'[1]Hurricane Data'!K6</f>
        <v>67322</v>
      </c>
      <c r="I31" s="10">
        <f t="shared" si="1"/>
        <v>158876369</v>
      </c>
      <c r="J31" s="11">
        <f t="shared" si="2"/>
        <v>0.66114481757825172</v>
      </c>
      <c r="K31" s="12">
        <f t="shared" si="2"/>
        <v>7.9418500557499522E-2</v>
      </c>
      <c r="L31" s="11">
        <f t="shared" si="2"/>
        <v>5.1608449082821119E-2</v>
      </c>
      <c r="M31" s="11">
        <f t="shared" si="2"/>
        <v>0.1301817389847322</v>
      </c>
      <c r="N31" s="11">
        <f t="shared" si="2"/>
        <v>7.7222755512495384E-2</v>
      </c>
      <c r="O31" s="11">
        <f t="shared" si="2"/>
        <v>4.2373828420008767E-4</v>
      </c>
    </row>
    <row r="32" spans="1:15">
      <c r="A32" s="13">
        <v>30</v>
      </c>
      <c r="B32" s="14" t="s">
        <v>46</v>
      </c>
      <c r="C32" s="15">
        <f>21454104+'[1]Local Transfers'!I36</f>
        <v>21454104</v>
      </c>
      <c r="D32" s="15">
        <v>1748009</v>
      </c>
      <c r="E32" s="15">
        <v>902814</v>
      </c>
      <c r="F32" s="15">
        <v>2429876</v>
      </c>
      <c r="G32" s="15">
        <v>31</v>
      </c>
      <c r="H32" s="15">
        <v>2256395</v>
      </c>
      <c r="I32" s="16">
        <f t="shared" si="1"/>
        <v>28791229</v>
      </c>
      <c r="J32" s="17">
        <f t="shared" si="2"/>
        <v>0.74516110444607975</v>
      </c>
      <c r="K32" s="18">
        <f t="shared" si="2"/>
        <v>6.0713247079518556E-2</v>
      </c>
      <c r="L32" s="17">
        <f t="shared" si="2"/>
        <v>3.1357258142748957E-2</v>
      </c>
      <c r="M32" s="17">
        <f t="shared" si="2"/>
        <v>8.4396397250009719E-2</v>
      </c>
      <c r="N32" s="17">
        <f t="shared" si="2"/>
        <v>1.0767168014953443E-6</v>
      </c>
      <c r="O32" s="17">
        <f t="shared" si="2"/>
        <v>7.8370916364841531E-2</v>
      </c>
    </row>
    <row r="33" spans="1:15">
      <c r="A33" s="13">
        <v>31</v>
      </c>
      <c r="B33" s="8" t="s">
        <v>47</v>
      </c>
      <c r="C33" s="9">
        <f>44306581+'[1]Local Transfers'!I37</f>
        <v>44279311.164999999</v>
      </c>
      <c r="D33" s="9">
        <v>4040319</v>
      </c>
      <c r="E33" s="9">
        <v>3558051</v>
      </c>
      <c r="F33" s="9">
        <v>17116841</v>
      </c>
      <c r="G33" s="9">
        <v>3673827</v>
      </c>
      <c r="H33" s="9">
        <v>37399</v>
      </c>
      <c r="I33" s="10">
        <f t="shared" si="1"/>
        <v>72705748.164999992</v>
      </c>
      <c r="J33" s="11">
        <f t="shared" si="2"/>
        <v>0.60902077597099447</v>
      </c>
      <c r="K33" s="12">
        <f t="shared" si="2"/>
        <v>5.5570833145555602E-2</v>
      </c>
      <c r="L33" s="11">
        <f t="shared" si="2"/>
        <v>4.893768498090801E-2</v>
      </c>
      <c r="M33" s="11">
        <f t="shared" si="2"/>
        <v>0.23542624114333674</v>
      </c>
      <c r="N33" s="11">
        <f t="shared" si="2"/>
        <v>5.0530076269382961E-2</v>
      </c>
      <c r="O33" s="11">
        <f t="shared" si="2"/>
        <v>5.1438848982237142E-4</v>
      </c>
    </row>
    <row r="34" spans="1:15">
      <c r="A34" s="13">
        <v>32</v>
      </c>
      <c r="B34" s="8" t="s">
        <v>48</v>
      </c>
      <c r="C34" s="9">
        <f>180565571+'[1]Local Transfers'!I38</f>
        <v>180561002</v>
      </c>
      <c r="D34" s="9">
        <v>14700177</v>
      </c>
      <c r="E34" s="9">
        <v>4792649</v>
      </c>
      <c r="F34" s="9">
        <v>13184926</v>
      </c>
      <c r="G34" s="9">
        <v>7454544</v>
      </c>
      <c r="H34" s="9">
        <v>2131163</v>
      </c>
      <c r="I34" s="10">
        <f t="shared" si="1"/>
        <v>222824461</v>
      </c>
      <c r="J34" s="11">
        <f t="shared" si="2"/>
        <v>0.81032845850797319</v>
      </c>
      <c r="K34" s="12">
        <f t="shared" si="2"/>
        <v>6.5972007444909733E-2</v>
      </c>
      <c r="L34" s="11">
        <f t="shared" si="2"/>
        <v>2.1508630508927831E-2</v>
      </c>
      <c r="M34" s="11">
        <f t="shared" si="2"/>
        <v>5.917180699474462E-2</v>
      </c>
      <c r="N34" s="11">
        <f t="shared" si="2"/>
        <v>3.3454783045565178E-2</v>
      </c>
      <c r="O34" s="11">
        <f t="shared" si="2"/>
        <v>9.5643134978793919E-3</v>
      </c>
    </row>
    <row r="35" spans="1:15">
      <c r="A35" s="13">
        <v>33</v>
      </c>
      <c r="B35" s="8" t="s">
        <v>49</v>
      </c>
      <c r="C35" s="9">
        <f>15887961+'[1]Local Transfers'!I39</f>
        <v>15868837</v>
      </c>
      <c r="D35" s="9">
        <v>1525899</v>
      </c>
      <c r="E35" s="9">
        <v>2787499</v>
      </c>
      <c r="F35" s="9">
        <v>1390139</v>
      </c>
      <c r="G35" s="9">
        <v>2627486</v>
      </c>
      <c r="H35" s="9">
        <v>31</v>
      </c>
      <c r="I35" s="10">
        <f t="shared" si="1"/>
        <v>24199891</v>
      </c>
      <c r="J35" s="11">
        <f t="shared" si="2"/>
        <v>0.65574001965546047</v>
      </c>
      <c r="K35" s="12">
        <f t="shared" si="2"/>
        <v>6.305396168933157E-2</v>
      </c>
      <c r="L35" s="11">
        <f t="shared" si="2"/>
        <v>0.11518642790581164</v>
      </c>
      <c r="M35" s="11">
        <f t="shared" si="2"/>
        <v>5.7444019066036286E-2</v>
      </c>
      <c r="N35" s="11">
        <f t="shared" si="2"/>
        <v>0.10857429068585474</v>
      </c>
      <c r="O35" s="11">
        <f t="shared" si="2"/>
        <v>1.2809975053193421E-6</v>
      </c>
    </row>
    <row r="36" spans="1:15">
      <c r="A36" s="13">
        <v>34</v>
      </c>
      <c r="B36" s="8" t="s">
        <v>50</v>
      </c>
      <c r="C36" s="9">
        <f>37818529+'[1]Local Transfers'!I40</f>
        <v>37810114</v>
      </c>
      <c r="D36" s="9">
        <v>3606273</v>
      </c>
      <c r="E36" s="9">
        <v>5958019</v>
      </c>
      <c r="F36" s="9">
        <v>2551266</v>
      </c>
      <c r="G36" s="9">
        <v>1489599</v>
      </c>
      <c r="H36" s="9">
        <v>448837</v>
      </c>
      <c r="I36" s="10">
        <f t="shared" si="1"/>
        <v>51864108</v>
      </c>
      <c r="J36" s="11">
        <f t="shared" si="2"/>
        <v>0.72902273765124814</v>
      </c>
      <c r="K36" s="12">
        <f t="shared" si="2"/>
        <v>6.9533115271162085E-2</v>
      </c>
      <c r="L36" s="11">
        <f t="shared" si="2"/>
        <v>0.11487749871259716</v>
      </c>
      <c r="M36" s="11">
        <f t="shared" si="2"/>
        <v>4.9191359851402439E-2</v>
      </c>
      <c r="N36" s="11">
        <f t="shared" si="2"/>
        <v>2.8721191927180163E-2</v>
      </c>
      <c r="O36" s="11">
        <f t="shared" si="2"/>
        <v>8.6540965864100091E-3</v>
      </c>
    </row>
    <row r="37" spans="1:15">
      <c r="A37" s="13">
        <v>35</v>
      </c>
      <c r="B37" s="14" t="s">
        <v>51</v>
      </c>
      <c r="C37" s="15">
        <f>52444611+'[1]Local Transfers'!I41</f>
        <v>52435582</v>
      </c>
      <c r="D37" s="15">
        <v>6255228</v>
      </c>
      <c r="E37" s="15">
        <v>5166150</v>
      </c>
      <c r="F37" s="15">
        <v>7024437</v>
      </c>
      <c r="G37" s="15">
        <v>2843536</v>
      </c>
      <c r="H37" s="15">
        <v>0</v>
      </c>
      <c r="I37" s="16">
        <f t="shared" si="1"/>
        <v>73724933</v>
      </c>
      <c r="J37" s="17">
        <f t="shared" si="2"/>
        <v>0.71123268433489117</v>
      </c>
      <c r="K37" s="18">
        <f t="shared" si="2"/>
        <v>8.4845489110176614E-2</v>
      </c>
      <c r="L37" s="17">
        <f t="shared" si="2"/>
        <v>7.0073308849259996E-2</v>
      </c>
      <c r="M37" s="17">
        <f t="shared" si="2"/>
        <v>9.527898791037219E-2</v>
      </c>
      <c r="N37" s="17">
        <f t="shared" si="2"/>
        <v>3.8569529795300053E-2</v>
      </c>
      <c r="O37" s="17">
        <f t="shared" si="2"/>
        <v>0</v>
      </c>
    </row>
    <row r="38" spans="1:15">
      <c r="A38" s="13">
        <v>36</v>
      </c>
      <c r="B38" s="19" t="s">
        <v>52</v>
      </c>
      <c r="C38" s="9">
        <f>242795494+'[1]Local Transfers'!I42</f>
        <v>131419957.50875001</v>
      </c>
      <c r="D38" s="9">
        <v>11735041</v>
      </c>
      <c r="E38" s="9">
        <v>24758393</v>
      </c>
      <c r="F38" s="9">
        <v>5156594</v>
      </c>
      <c r="G38" s="9">
        <v>25755362</v>
      </c>
      <c r="H38" s="9">
        <v>9504520</v>
      </c>
      <c r="I38" s="10">
        <f t="shared" si="1"/>
        <v>208329867.50875002</v>
      </c>
      <c r="J38" s="11">
        <f t="shared" si="2"/>
        <v>0.63082629044167304</v>
      </c>
      <c r="K38" s="12">
        <f t="shared" si="2"/>
        <v>5.632913388910555E-2</v>
      </c>
      <c r="L38" s="11">
        <f t="shared" si="2"/>
        <v>0.11884226345490345</v>
      </c>
      <c r="M38" s="11">
        <f t="shared" si="2"/>
        <v>2.4752062974280051E-2</v>
      </c>
      <c r="N38" s="11">
        <f t="shared" si="2"/>
        <v>0.12362779426679305</v>
      </c>
      <c r="O38" s="11">
        <f t="shared" si="2"/>
        <v>4.562245497324479E-2</v>
      </c>
    </row>
    <row r="39" spans="1:15">
      <c r="A39" s="13">
        <v>37</v>
      </c>
      <c r="B39" s="8" t="s">
        <v>53</v>
      </c>
      <c r="C39" s="9">
        <f>168945003+'[1]Local Transfers'!I43</f>
        <v>168919757.41999999</v>
      </c>
      <c r="D39" s="9">
        <v>13138958</v>
      </c>
      <c r="E39" s="9">
        <v>9522423</v>
      </c>
      <c r="F39" s="9">
        <v>12643371</v>
      </c>
      <c r="G39" s="9">
        <v>5788943</v>
      </c>
      <c r="H39" s="9">
        <v>166501</v>
      </c>
      <c r="I39" s="10">
        <f t="shared" si="1"/>
        <v>210179953.41999999</v>
      </c>
      <c r="J39" s="11">
        <f t="shared" si="2"/>
        <v>0.80369109742093114</v>
      </c>
      <c r="K39" s="12">
        <f t="shared" si="2"/>
        <v>6.2512898048581178E-2</v>
      </c>
      <c r="L39" s="11">
        <f t="shared" si="2"/>
        <v>4.5306047722693421E-2</v>
      </c>
      <c r="M39" s="11">
        <f t="shared" si="2"/>
        <v>6.0154980502516858E-2</v>
      </c>
      <c r="N39" s="11">
        <f t="shared" si="2"/>
        <v>2.7542793238858641E-2</v>
      </c>
      <c r="O39" s="11">
        <f t="shared" si="2"/>
        <v>7.9218306641872318E-4</v>
      </c>
    </row>
    <row r="40" spans="1:15">
      <c r="A40" s="13">
        <v>38</v>
      </c>
      <c r="B40" s="8" t="s">
        <v>54</v>
      </c>
      <c r="C40" s="9">
        <f>56299868+'[1]Local Transfers'!I44</f>
        <v>56299868</v>
      </c>
      <c r="D40" s="9">
        <f>5199636-'[1]Hurricane Data'!G7</f>
        <v>3600985</v>
      </c>
      <c r="E40" s="9">
        <v>1653316</v>
      </c>
      <c r="F40" s="9">
        <v>1936803</v>
      </c>
      <c r="G40" s="9">
        <v>29689</v>
      </c>
      <c r="H40" s="9">
        <f>28937376-'[1]Hurricane Data'!K7</f>
        <v>17904</v>
      </c>
      <c r="I40" s="10">
        <f t="shared" si="1"/>
        <v>63538565</v>
      </c>
      <c r="J40" s="11">
        <f t="shared" si="2"/>
        <v>0.88607396153816187</v>
      </c>
      <c r="K40" s="12">
        <f t="shared" si="2"/>
        <v>5.667400577900996E-2</v>
      </c>
      <c r="L40" s="11">
        <f t="shared" si="2"/>
        <v>2.6020669494188294E-2</v>
      </c>
      <c r="M40" s="11">
        <f t="shared" si="2"/>
        <v>3.0482322035444143E-2</v>
      </c>
      <c r="N40" s="11">
        <f t="shared" si="2"/>
        <v>4.6725952970451883E-4</v>
      </c>
      <c r="O40" s="11">
        <f t="shared" si="2"/>
        <v>2.8178162349118207E-4</v>
      </c>
    </row>
    <row r="41" spans="1:15">
      <c r="A41" s="13">
        <v>39</v>
      </c>
      <c r="B41" s="8" t="s">
        <v>55</v>
      </c>
      <c r="C41" s="9">
        <f>23018130+'[1]Local Transfers'!I45</f>
        <v>21838507.279213484</v>
      </c>
      <c r="D41" s="9">
        <v>3530797</v>
      </c>
      <c r="E41" s="9">
        <v>2296164</v>
      </c>
      <c r="F41" s="9">
        <v>1695160</v>
      </c>
      <c r="G41" s="9">
        <v>404259</v>
      </c>
      <c r="H41" s="9">
        <v>9265</v>
      </c>
      <c r="I41" s="10">
        <f t="shared" si="1"/>
        <v>29774152.279213484</v>
      </c>
      <c r="J41" s="11">
        <f t="shared" si="2"/>
        <v>0.73347200868787832</v>
      </c>
      <c r="K41" s="12">
        <f t="shared" si="2"/>
        <v>0.11858597910325692</v>
      </c>
      <c r="L41" s="11">
        <f t="shared" si="2"/>
        <v>7.7119374498633264E-2</v>
      </c>
      <c r="M41" s="11">
        <f t="shared" si="2"/>
        <v>5.6933946736863382E-2</v>
      </c>
      <c r="N41" s="11">
        <f t="shared" si="2"/>
        <v>1.3577515027429656E-2</v>
      </c>
      <c r="O41" s="11">
        <f t="shared" si="2"/>
        <v>3.1117594593845963E-4</v>
      </c>
    </row>
    <row r="42" spans="1:15">
      <c r="A42" s="13">
        <v>40</v>
      </c>
      <c r="B42" s="14" t="s">
        <v>56</v>
      </c>
      <c r="C42" s="15">
        <f>150002319+'[1]Local Transfers'!I46</f>
        <v>149977479</v>
      </c>
      <c r="D42" s="15">
        <v>16202950</v>
      </c>
      <c r="E42" s="15">
        <v>12404288</v>
      </c>
      <c r="F42" s="15">
        <v>45631521</v>
      </c>
      <c r="G42" s="15">
        <v>8591048</v>
      </c>
      <c r="H42" s="15">
        <v>23834</v>
      </c>
      <c r="I42" s="16">
        <f t="shared" si="1"/>
        <v>232831120</v>
      </c>
      <c r="J42" s="17">
        <f t="shared" si="2"/>
        <v>0.64414704958684221</v>
      </c>
      <c r="K42" s="18">
        <f t="shared" si="2"/>
        <v>6.9590997973123181E-2</v>
      </c>
      <c r="L42" s="17">
        <f t="shared" si="2"/>
        <v>5.3275902293473482E-2</v>
      </c>
      <c r="M42" s="17">
        <f t="shared" si="2"/>
        <v>0.19598548939677823</v>
      </c>
      <c r="N42" s="17">
        <f t="shared" si="2"/>
        <v>3.6898194708679839E-2</v>
      </c>
      <c r="O42" s="17">
        <f t="shared" si="2"/>
        <v>1.0236604110309653E-4</v>
      </c>
    </row>
    <row r="43" spans="1:15">
      <c r="A43" s="13">
        <v>41</v>
      </c>
      <c r="B43" s="8" t="s">
        <v>57</v>
      </c>
      <c r="C43" s="9">
        <f>21746745+'[1]Local Transfers'!I47</f>
        <v>21745460</v>
      </c>
      <c r="D43" s="9">
        <v>1275345</v>
      </c>
      <c r="E43" s="9">
        <v>1347210</v>
      </c>
      <c r="F43" s="9">
        <v>13156602</v>
      </c>
      <c r="G43" s="9">
        <v>646604</v>
      </c>
      <c r="H43" s="9">
        <v>0</v>
      </c>
      <c r="I43" s="10">
        <f t="shared" si="1"/>
        <v>38171221</v>
      </c>
      <c r="J43" s="11">
        <f t="shared" si="2"/>
        <v>0.56968206492530071</v>
      </c>
      <c r="K43" s="12">
        <f t="shared" si="2"/>
        <v>3.3411165967156251E-2</v>
      </c>
      <c r="L43" s="11">
        <f t="shared" si="2"/>
        <v>3.5293867073311593E-2</v>
      </c>
      <c r="M43" s="11">
        <f t="shared" si="2"/>
        <v>0.34467333387108579</v>
      </c>
      <c r="N43" s="11">
        <f t="shared" si="2"/>
        <v>1.6939568163145739E-2</v>
      </c>
      <c r="O43" s="11">
        <f t="shared" si="2"/>
        <v>0</v>
      </c>
    </row>
    <row r="44" spans="1:15">
      <c r="A44" s="13">
        <v>42</v>
      </c>
      <c r="B44" s="8" t="s">
        <v>58</v>
      </c>
      <c r="C44" s="9">
        <f>28743955+'[1]Local Transfers'!I48</f>
        <v>28733848</v>
      </c>
      <c r="D44" s="9">
        <v>2241031</v>
      </c>
      <c r="E44" s="9">
        <v>2725915</v>
      </c>
      <c r="F44" s="9">
        <v>2518471</v>
      </c>
      <c r="G44" s="9">
        <v>1996149</v>
      </c>
      <c r="H44" s="9">
        <v>304</v>
      </c>
      <c r="I44" s="10">
        <f t="shared" si="1"/>
        <v>38215718</v>
      </c>
      <c r="J44" s="11">
        <f t="shared" si="2"/>
        <v>0.75188559848594239</v>
      </c>
      <c r="K44" s="12">
        <f t="shared" si="2"/>
        <v>5.8641603959920366E-2</v>
      </c>
      <c r="L44" s="11">
        <f t="shared" si="2"/>
        <v>7.1329681677052365E-2</v>
      </c>
      <c r="M44" s="11">
        <f t="shared" si="2"/>
        <v>6.5901444007934115E-2</v>
      </c>
      <c r="N44" s="11">
        <f t="shared" si="2"/>
        <v>5.2233717027114338E-2</v>
      </c>
      <c r="O44" s="11">
        <f t="shared" si="2"/>
        <v>7.9548420364625885E-6</v>
      </c>
    </row>
    <row r="45" spans="1:15">
      <c r="A45" s="13">
        <v>43</v>
      </c>
      <c r="B45" s="8" t="s">
        <v>59</v>
      </c>
      <c r="C45" s="9">
        <f>41850949+'[1]Local Transfers'!I49</f>
        <v>41841074</v>
      </c>
      <c r="D45" s="9">
        <v>5281521</v>
      </c>
      <c r="E45" s="9">
        <v>3212397</v>
      </c>
      <c r="F45" s="9">
        <v>6165075</v>
      </c>
      <c r="G45" s="9">
        <v>2549008</v>
      </c>
      <c r="H45" s="9">
        <v>12792</v>
      </c>
      <c r="I45" s="10">
        <f t="shared" si="1"/>
        <v>59061867</v>
      </c>
      <c r="J45" s="11">
        <f t="shared" si="2"/>
        <v>0.70842789307693232</v>
      </c>
      <c r="K45" s="12">
        <f t="shared" si="2"/>
        <v>8.9423536170978132E-2</v>
      </c>
      <c r="L45" s="11">
        <f t="shared" si="2"/>
        <v>5.4390373402859071E-2</v>
      </c>
      <c r="M45" s="11">
        <f t="shared" si="2"/>
        <v>0.10438334094653662</v>
      </c>
      <c r="N45" s="11">
        <f t="shared" si="2"/>
        <v>4.3158269954453016E-2</v>
      </c>
      <c r="O45" s="11">
        <f t="shared" si="2"/>
        <v>2.165864482407913E-4</v>
      </c>
    </row>
    <row r="46" spans="1:15">
      <c r="A46" s="13">
        <v>44</v>
      </c>
      <c r="B46" s="8" t="s">
        <v>60</v>
      </c>
      <c r="C46" s="9">
        <f>57898822+'[1]Local Transfers'!I50</f>
        <v>57888528</v>
      </c>
      <c r="D46" s="9">
        <f>60515813-'[1]Hurricane Data'!G8</f>
        <v>7601659</v>
      </c>
      <c r="E46" s="9">
        <v>3834730</v>
      </c>
      <c r="F46" s="9">
        <v>3754262</v>
      </c>
      <c r="G46" s="9">
        <v>2858817</v>
      </c>
      <c r="H46" s="9">
        <v>564084</v>
      </c>
      <c r="I46" s="10">
        <f t="shared" si="1"/>
        <v>76502080</v>
      </c>
      <c r="J46" s="11">
        <f t="shared" si="2"/>
        <v>0.75669221019872923</v>
      </c>
      <c r="K46" s="12">
        <f t="shared" si="2"/>
        <v>9.9365389803780499E-2</v>
      </c>
      <c r="L46" s="11">
        <f t="shared" si="2"/>
        <v>5.0125826644190588E-2</v>
      </c>
      <c r="M46" s="11">
        <f t="shared" si="2"/>
        <v>4.9073985962211748E-2</v>
      </c>
      <c r="N46" s="11">
        <f t="shared" si="2"/>
        <v>3.7369140812903386E-2</v>
      </c>
      <c r="O46" s="11">
        <f t="shared" si="2"/>
        <v>7.3734465781845407E-3</v>
      </c>
    </row>
    <row r="47" spans="1:15">
      <c r="A47" s="13">
        <v>45</v>
      </c>
      <c r="B47" s="14" t="s">
        <v>61</v>
      </c>
      <c r="C47" s="15">
        <f>121299294+'[1]Local Transfers'!I51</f>
        <v>121290328</v>
      </c>
      <c r="D47" s="15">
        <v>7243832</v>
      </c>
      <c r="E47" s="15">
        <v>2984289</v>
      </c>
      <c r="F47" s="15">
        <v>6792571</v>
      </c>
      <c r="G47" s="15">
        <v>7024392</v>
      </c>
      <c r="H47" s="15">
        <v>4944528</v>
      </c>
      <c r="I47" s="16">
        <f t="shared" si="1"/>
        <v>150279940</v>
      </c>
      <c r="J47" s="17">
        <f t="shared" si="2"/>
        <v>0.80709593043489369</v>
      </c>
      <c r="K47" s="18">
        <f t="shared" si="2"/>
        <v>4.820225507143535E-2</v>
      </c>
      <c r="L47" s="17">
        <f t="shared" si="2"/>
        <v>1.9858199304577842E-2</v>
      </c>
      <c r="M47" s="17">
        <f t="shared" si="2"/>
        <v>4.5199452435235203E-2</v>
      </c>
      <c r="N47" s="17">
        <f t="shared" si="2"/>
        <v>4.674204687598358E-2</v>
      </c>
      <c r="O47" s="17">
        <f t="shared" si="2"/>
        <v>3.2902115877874318E-2</v>
      </c>
    </row>
    <row r="48" spans="1:15">
      <c r="A48" s="13">
        <v>46</v>
      </c>
      <c r="B48" s="19" t="s">
        <v>62</v>
      </c>
      <c r="C48" s="9">
        <f>5056966+'[1]Local Transfers'!I52</f>
        <v>4637519</v>
      </c>
      <c r="D48" s="9">
        <v>1196822</v>
      </c>
      <c r="E48" s="9">
        <v>705036</v>
      </c>
      <c r="F48" s="9">
        <v>1353569</v>
      </c>
      <c r="G48" s="9">
        <v>0</v>
      </c>
      <c r="H48" s="9">
        <v>912023</v>
      </c>
      <c r="I48" s="10">
        <f t="shared" si="1"/>
        <v>8804969</v>
      </c>
      <c r="J48" s="11">
        <f t="shared" si="2"/>
        <v>0.52669339324192965</v>
      </c>
      <c r="K48" s="12">
        <f t="shared" si="2"/>
        <v>0.13592574829053913</v>
      </c>
      <c r="L48" s="11">
        <f t="shared" si="2"/>
        <v>8.0072513599991096E-2</v>
      </c>
      <c r="M48" s="11">
        <f t="shared" si="2"/>
        <v>0.15372785525991062</v>
      </c>
      <c r="N48" s="11">
        <f t="shared" si="2"/>
        <v>0</v>
      </c>
      <c r="O48" s="11">
        <f t="shared" si="2"/>
        <v>0.10358048960762951</v>
      </c>
    </row>
    <row r="49" spans="1:15">
      <c r="A49" s="13">
        <v>47</v>
      </c>
      <c r="B49" s="8" t="s">
        <v>63</v>
      </c>
      <c r="C49" s="9">
        <f>44588998+'[1]Local Transfers'!I53</f>
        <v>44588998</v>
      </c>
      <c r="D49" s="9">
        <v>2866820</v>
      </c>
      <c r="E49" s="9">
        <v>1796242</v>
      </c>
      <c r="F49" s="9">
        <v>9206305</v>
      </c>
      <c r="G49" s="9">
        <v>3777841</v>
      </c>
      <c r="H49" s="9">
        <v>9202</v>
      </c>
      <c r="I49" s="10">
        <f t="shared" si="1"/>
        <v>62245408</v>
      </c>
      <c r="J49" s="11">
        <f t="shared" si="2"/>
        <v>0.71634196694477448</v>
      </c>
      <c r="K49" s="12">
        <f t="shared" si="2"/>
        <v>4.6056730803338941E-2</v>
      </c>
      <c r="L49" s="11">
        <f t="shared" si="2"/>
        <v>2.8857421900102254E-2</v>
      </c>
      <c r="M49" s="11">
        <f t="shared" si="2"/>
        <v>0.14790336019646622</v>
      </c>
      <c r="N49" s="11">
        <f t="shared" si="2"/>
        <v>6.0692685956850019E-2</v>
      </c>
      <c r="O49" s="11">
        <f t="shared" si="2"/>
        <v>1.4783419846810226E-4</v>
      </c>
    </row>
    <row r="50" spans="1:15">
      <c r="A50" s="13">
        <v>48</v>
      </c>
      <c r="B50" s="8" t="s">
        <v>64</v>
      </c>
      <c r="C50" s="9">
        <f>54392312+'[1]Local Transfers'!I54</f>
        <v>54386649</v>
      </c>
      <c r="D50" s="9">
        <v>5825492</v>
      </c>
      <c r="E50" s="9">
        <v>3752028</v>
      </c>
      <c r="F50" s="9">
        <v>3591737</v>
      </c>
      <c r="G50" s="9">
        <v>3331469</v>
      </c>
      <c r="H50" s="9">
        <v>2790746</v>
      </c>
      <c r="I50" s="10">
        <f t="shared" si="1"/>
        <v>73678121</v>
      </c>
      <c r="J50" s="11">
        <f t="shared" si="2"/>
        <v>0.7381655267782955</v>
      </c>
      <c r="K50" s="12">
        <f t="shared" si="2"/>
        <v>7.9066782932751503E-2</v>
      </c>
      <c r="L50" s="11">
        <f t="shared" si="2"/>
        <v>5.09245885898746E-2</v>
      </c>
      <c r="M50" s="11">
        <f t="shared" si="2"/>
        <v>4.8749030936877449E-2</v>
      </c>
      <c r="N50" s="11">
        <f t="shared" si="2"/>
        <v>4.521653042699067E-2</v>
      </c>
      <c r="O50" s="11">
        <f t="shared" si="2"/>
        <v>3.7877540335210229E-2</v>
      </c>
    </row>
    <row r="51" spans="1:15">
      <c r="A51" s="13">
        <v>49</v>
      </c>
      <c r="B51" s="8" t="s">
        <v>65</v>
      </c>
      <c r="C51" s="9">
        <f>109850945+'[1]Local Transfers'!I55</f>
        <v>109830742</v>
      </c>
      <c r="D51" s="9">
        <v>11916059</v>
      </c>
      <c r="E51" s="9">
        <v>16006790</v>
      </c>
      <c r="F51" s="9">
        <v>8872943</v>
      </c>
      <c r="G51" s="9">
        <v>362</v>
      </c>
      <c r="H51" s="9">
        <v>0</v>
      </c>
      <c r="I51" s="10">
        <f t="shared" si="1"/>
        <v>146626896</v>
      </c>
      <c r="J51" s="11">
        <f t="shared" si="2"/>
        <v>0.74904908305499418</v>
      </c>
      <c r="K51" s="12">
        <f t="shared" si="2"/>
        <v>8.1267893715761402E-2</v>
      </c>
      <c r="L51" s="11">
        <f t="shared" si="2"/>
        <v>0.10916680661370612</v>
      </c>
      <c r="M51" s="11">
        <f t="shared" si="2"/>
        <v>6.0513747764257386E-2</v>
      </c>
      <c r="N51" s="11">
        <f t="shared" si="2"/>
        <v>2.4688512808727807E-6</v>
      </c>
      <c r="O51" s="11">
        <f t="shared" si="2"/>
        <v>0</v>
      </c>
    </row>
    <row r="52" spans="1:15">
      <c r="A52" s="13">
        <v>50</v>
      </c>
      <c r="B52" s="14" t="s">
        <v>66</v>
      </c>
      <c r="C52" s="15">
        <f>51024994+'[1]Local Transfers'!I56</f>
        <v>51016086</v>
      </c>
      <c r="D52" s="15">
        <v>6550618</v>
      </c>
      <c r="E52" s="15">
        <v>5021157</v>
      </c>
      <c r="F52" s="15">
        <v>16976073</v>
      </c>
      <c r="G52" s="15">
        <v>5570922</v>
      </c>
      <c r="H52" s="15">
        <v>40885</v>
      </c>
      <c r="I52" s="16">
        <f t="shared" si="1"/>
        <v>85175741</v>
      </c>
      <c r="J52" s="17">
        <f t="shared" si="2"/>
        <v>0.5989508914281122</v>
      </c>
      <c r="K52" s="18">
        <f t="shared" si="2"/>
        <v>7.6907085551506965E-2</v>
      </c>
      <c r="L52" s="17">
        <f t="shared" si="2"/>
        <v>5.895055259924302E-2</v>
      </c>
      <c r="M52" s="17">
        <f t="shared" si="2"/>
        <v>0.19930643162822617</v>
      </c>
      <c r="N52" s="17">
        <f t="shared" si="2"/>
        <v>6.5405031228316521E-2</v>
      </c>
      <c r="O52" s="17">
        <f t="shared" si="2"/>
        <v>4.8000756459518209E-4</v>
      </c>
    </row>
    <row r="53" spans="1:15">
      <c r="A53" s="13">
        <v>51</v>
      </c>
      <c r="B53" s="8" t="s">
        <v>67</v>
      </c>
      <c r="C53" s="9">
        <f>85050376+'[1]Local Transfers'!I57</f>
        <v>85029455</v>
      </c>
      <c r="D53" s="9">
        <v>6267964</v>
      </c>
      <c r="E53" s="9">
        <v>6104207</v>
      </c>
      <c r="F53" s="9">
        <v>5746072</v>
      </c>
      <c r="G53" s="9">
        <v>2359478</v>
      </c>
      <c r="H53" s="9">
        <v>82172</v>
      </c>
      <c r="I53" s="10">
        <f t="shared" si="1"/>
        <v>105589348</v>
      </c>
      <c r="J53" s="11">
        <f t="shared" si="2"/>
        <v>0.8052844023622534</v>
      </c>
      <c r="K53" s="12">
        <f t="shared" si="2"/>
        <v>5.9361707584367318E-2</v>
      </c>
      <c r="L53" s="11">
        <f t="shared" si="2"/>
        <v>5.7810821977989674E-2</v>
      </c>
      <c r="M53" s="11">
        <f t="shared" si="2"/>
        <v>5.4419049921588684E-2</v>
      </c>
      <c r="N53" s="11">
        <f t="shared" si="2"/>
        <v>2.2345795714166169E-2</v>
      </c>
      <c r="O53" s="11">
        <f t="shared" si="2"/>
        <v>7.7822243963472529E-4</v>
      </c>
    </row>
    <row r="54" spans="1:15">
      <c r="A54" s="13">
        <v>52</v>
      </c>
      <c r="B54" s="8" t="s">
        <v>68</v>
      </c>
      <c r="C54" s="9">
        <f>353776146+'[1]Local Transfers'!I58</f>
        <v>353729321.8175</v>
      </c>
      <c r="D54" s="9">
        <f>29150842-'[1]Hurricane Data'!G9</f>
        <v>24804790</v>
      </c>
      <c r="E54" s="9">
        <v>11900466</v>
      </c>
      <c r="F54" s="9">
        <v>17540812</v>
      </c>
      <c r="G54" s="9">
        <v>31944121</v>
      </c>
      <c r="H54" s="9">
        <v>737027</v>
      </c>
      <c r="I54" s="10">
        <f t="shared" si="1"/>
        <v>440656537.8175</v>
      </c>
      <c r="J54" s="11">
        <f t="shared" si="2"/>
        <v>0.80273249449438255</v>
      </c>
      <c r="K54" s="12">
        <f t="shared" si="2"/>
        <v>5.6290529859954155E-2</v>
      </c>
      <c r="L54" s="11">
        <f t="shared" si="2"/>
        <v>2.700621681217092E-2</v>
      </c>
      <c r="M54" s="11">
        <f t="shared" si="2"/>
        <v>3.9806085907352656E-2</v>
      </c>
      <c r="N54" s="11">
        <f t="shared" si="2"/>
        <v>7.2492107250272567E-2</v>
      </c>
      <c r="O54" s="11">
        <f t="shared" si="2"/>
        <v>1.6725656758671381E-3</v>
      </c>
    </row>
    <row r="55" spans="1:15">
      <c r="A55" s="13">
        <v>53</v>
      </c>
      <c r="B55" s="8" t="s">
        <v>69</v>
      </c>
      <c r="C55" s="9">
        <f>121224010+'[1]Local Transfers'!I59</f>
        <v>121209116</v>
      </c>
      <c r="D55" s="9">
        <v>13869484</v>
      </c>
      <c r="E55" s="9">
        <v>12524790</v>
      </c>
      <c r="F55" s="9">
        <v>19976157</v>
      </c>
      <c r="G55" s="9">
        <v>4743355</v>
      </c>
      <c r="H55" s="9">
        <v>4752790</v>
      </c>
      <c r="I55" s="10">
        <f t="shared" si="1"/>
        <v>177075692</v>
      </c>
      <c r="J55" s="11">
        <f t="shared" si="2"/>
        <v>0.68450454509589043</v>
      </c>
      <c r="K55" s="12">
        <f t="shared" si="2"/>
        <v>7.8325171814096317E-2</v>
      </c>
      <c r="L55" s="11">
        <f t="shared" si="2"/>
        <v>7.0731278011891094E-2</v>
      </c>
      <c r="M55" s="11">
        <f t="shared" si="2"/>
        <v>0.11281140157848431</v>
      </c>
      <c r="N55" s="11">
        <f t="shared" si="2"/>
        <v>2.6787160600225127E-2</v>
      </c>
      <c r="O55" s="11">
        <f t="shared" si="2"/>
        <v>2.6840442899412755E-2</v>
      </c>
    </row>
    <row r="56" spans="1:15">
      <c r="A56" s="13">
        <v>54</v>
      </c>
      <c r="B56" s="8" t="s">
        <v>70</v>
      </c>
      <c r="C56" s="9">
        <f>6854211+'[1]Local Transfers'!I60</f>
        <v>6854211</v>
      </c>
      <c r="D56" s="9">
        <v>619672</v>
      </c>
      <c r="E56" s="9">
        <v>1274288</v>
      </c>
      <c r="F56" s="9">
        <v>571035</v>
      </c>
      <c r="G56" s="9">
        <v>11</v>
      </c>
      <c r="H56" s="9">
        <v>1283</v>
      </c>
      <c r="I56" s="10">
        <f t="shared" si="1"/>
        <v>9320500</v>
      </c>
      <c r="J56" s="11">
        <f t="shared" si="2"/>
        <v>0.73539091250469391</v>
      </c>
      <c r="K56" s="12">
        <f t="shared" si="2"/>
        <v>6.6484845233624801E-2</v>
      </c>
      <c r="L56" s="11">
        <f t="shared" si="2"/>
        <v>0.13671884555549596</v>
      </c>
      <c r="M56" s="11">
        <f t="shared" si="2"/>
        <v>6.1266562952631297E-2</v>
      </c>
      <c r="N56" s="11">
        <f t="shared" si="2"/>
        <v>1.1801941955903654E-6</v>
      </c>
      <c r="O56" s="11">
        <f t="shared" si="2"/>
        <v>1.3765355935840351E-4</v>
      </c>
    </row>
    <row r="57" spans="1:15">
      <c r="A57" s="13">
        <v>55</v>
      </c>
      <c r="B57" s="14" t="s">
        <v>71</v>
      </c>
      <c r="C57" s="15">
        <f>142808284+'[1]Local Transfers'!I61</f>
        <v>142789311</v>
      </c>
      <c r="D57" s="15">
        <v>13820468</v>
      </c>
      <c r="E57" s="15">
        <v>13121901</v>
      </c>
      <c r="F57" s="15">
        <v>8715800</v>
      </c>
      <c r="G57" s="15">
        <v>35431</v>
      </c>
      <c r="H57" s="15">
        <v>37738</v>
      </c>
      <c r="I57" s="16">
        <f t="shared" si="1"/>
        <v>178520649</v>
      </c>
      <c r="J57" s="17">
        <f t="shared" si="2"/>
        <v>0.7998475907400493</v>
      </c>
      <c r="K57" s="18">
        <f t="shared" si="2"/>
        <v>7.7416635427983466E-2</v>
      </c>
      <c r="L57" s="17">
        <f t="shared" si="2"/>
        <v>7.350354748038139E-2</v>
      </c>
      <c r="M57" s="17">
        <f t="shared" si="2"/>
        <v>4.8822363400661845E-2</v>
      </c>
      <c r="N57" s="17">
        <f t="shared" si="2"/>
        <v>1.9847003805145252E-4</v>
      </c>
      <c r="O57" s="17">
        <f t="shared" si="2"/>
        <v>2.1139291287250475E-4</v>
      </c>
    </row>
    <row r="58" spans="1:15">
      <c r="A58" s="13">
        <v>56</v>
      </c>
      <c r="B58" s="19" t="s">
        <v>72</v>
      </c>
      <c r="C58" s="9">
        <f>22739704+'[1]Local Transfers'!I62</f>
        <v>21860253.795000002</v>
      </c>
      <c r="D58" s="9">
        <v>1734284</v>
      </c>
      <c r="E58" s="9">
        <v>2087908</v>
      </c>
      <c r="F58" s="9">
        <v>2058734</v>
      </c>
      <c r="G58" s="9">
        <v>0</v>
      </c>
      <c r="H58" s="9">
        <v>0</v>
      </c>
      <c r="I58" s="10">
        <f t="shared" si="1"/>
        <v>27741179.795000002</v>
      </c>
      <c r="J58" s="11">
        <f t="shared" si="2"/>
        <v>0.78800735788966114</v>
      </c>
      <c r="K58" s="12">
        <f t="shared" si="2"/>
        <v>6.251659132076938E-2</v>
      </c>
      <c r="L58" s="11">
        <f t="shared" si="2"/>
        <v>7.5263850183340766E-2</v>
      </c>
      <c r="M58" s="11">
        <f t="shared" si="2"/>
        <v>7.4212200606228754E-2</v>
      </c>
      <c r="N58" s="11">
        <f t="shared" si="2"/>
        <v>0</v>
      </c>
      <c r="O58" s="11">
        <f t="shared" si="2"/>
        <v>0</v>
      </c>
    </row>
    <row r="59" spans="1:15">
      <c r="A59" s="13">
        <v>57</v>
      </c>
      <c r="B59" s="8" t="s">
        <v>73</v>
      </c>
      <c r="C59" s="9">
        <f>55147840+'[1]Local Transfers'!I63</f>
        <v>55133415</v>
      </c>
      <c r="D59" s="9">
        <v>7625279</v>
      </c>
      <c r="E59" s="9">
        <v>5020108</v>
      </c>
      <c r="F59" s="9">
        <v>19357848</v>
      </c>
      <c r="G59" s="9">
        <v>378125</v>
      </c>
      <c r="H59" s="9">
        <v>9228899</v>
      </c>
      <c r="I59" s="10">
        <f t="shared" si="1"/>
        <v>96743674</v>
      </c>
      <c r="J59" s="11">
        <f t="shared" si="2"/>
        <v>0.56989168097957499</v>
      </c>
      <c r="K59" s="12">
        <f t="shared" si="2"/>
        <v>7.8819406837908598E-2</v>
      </c>
      <c r="L59" s="11">
        <f t="shared" si="2"/>
        <v>5.1890814070178891E-2</v>
      </c>
      <c r="M59" s="11">
        <f t="shared" si="2"/>
        <v>0.20009419944088541</v>
      </c>
      <c r="N59" s="11">
        <f t="shared" si="2"/>
        <v>3.9085242927615095E-3</v>
      </c>
      <c r="O59" s="11">
        <f t="shared" si="2"/>
        <v>9.5395374378690639E-2</v>
      </c>
    </row>
    <row r="60" spans="1:15">
      <c r="A60" s="13">
        <v>58</v>
      </c>
      <c r="B60" s="8" t="s">
        <v>74</v>
      </c>
      <c r="C60" s="9">
        <f>74468861+'[1]Local Transfers'!I64</f>
        <v>74468074</v>
      </c>
      <c r="D60" s="9">
        <v>9688540</v>
      </c>
      <c r="E60" s="9">
        <v>3642365</v>
      </c>
      <c r="F60" s="9">
        <v>7022406</v>
      </c>
      <c r="G60" s="9">
        <v>3045463</v>
      </c>
      <c r="H60" s="9">
        <v>27256</v>
      </c>
      <c r="I60" s="10">
        <f t="shared" si="1"/>
        <v>97894104</v>
      </c>
      <c r="J60" s="11">
        <f t="shared" si="2"/>
        <v>0.76070029712923259</v>
      </c>
      <c r="K60" s="12">
        <f t="shared" si="2"/>
        <v>9.896959677980198E-2</v>
      </c>
      <c r="L60" s="11">
        <f t="shared" si="2"/>
        <v>3.7207194827586346E-2</v>
      </c>
      <c r="M60" s="11">
        <f t="shared" si="2"/>
        <v>7.1734718568954872E-2</v>
      </c>
      <c r="N60" s="11">
        <f t="shared" si="2"/>
        <v>3.1109769389175878E-2</v>
      </c>
      <c r="O60" s="11">
        <f t="shared" si="2"/>
        <v>2.7842330524829157E-4</v>
      </c>
    </row>
    <row r="61" spans="1:15">
      <c r="A61" s="13">
        <v>59</v>
      </c>
      <c r="B61" s="8" t="s">
        <v>75</v>
      </c>
      <c r="C61" s="9">
        <f>42510373+'[1]Local Transfers'!I65</f>
        <v>42506110</v>
      </c>
      <c r="D61" s="9">
        <v>4601998</v>
      </c>
      <c r="E61" s="9">
        <v>2925110</v>
      </c>
      <c r="F61" s="9">
        <v>3596911</v>
      </c>
      <c r="G61" s="9">
        <v>2897070</v>
      </c>
      <c r="H61" s="9">
        <v>40623</v>
      </c>
      <c r="I61" s="10">
        <f t="shared" si="1"/>
        <v>56567822</v>
      </c>
      <c r="J61" s="11">
        <f t="shared" si="2"/>
        <v>0.75141853614233189</v>
      </c>
      <c r="K61" s="12">
        <f t="shared" si="2"/>
        <v>8.1353635994682635E-2</v>
      </c>
      <c r="L61" s="11">
        <f t="shared" si="2"/>
        <v>5.1709786528461359E-2</v>
      </c>
      <c r="M61" s="11">
        <f t="shared" ref="M61:O67" si="3">F61/$I61</f>
        <v>6.3585813857213735E-2</v>
      </c>
      <c r="N61" s="11">
        <f t="shared" si="3"/>
        <v>5.1214098361432404E-2</v>
      </c>
      <c r="O61" s="11">
        <f t="shared" si="3"/>
        <v>7.1812911587792788E-4</v>
      </c>
    </row>
    <row r="62" spans="1:15">
      <c r="A62" s="13">
        <v>60</v>
      </c>
      <c r="B62" s="14" t="s">
        <v>76</v>
      </c>
      <c r="C62" s="15">
        <f>45106335+'[1]Local Transfers'!I66</f>
        <v>45099004</v>
      </c>
      <c r="D62" s="15">
        <v>5493262</v>
      </c>
      <c r="E62" s="15">
        <v>3562024</v>
      </c>
      <c r="F62" s="15">
        <v>14360688</v>
      </c>
      <c r="G62" s="15">
        <v>6298173</v>
      </c>
      <c r="H62" s="15">
        <v>1224504</v>
      </c>
      <c r="I62" s="16">
        <f t="shared" si="1"/>
        <v>76037655</v>
      </c>
      <c r="J62" s="17">
        <f t="shared" ref="J62:O70" si="4">C62/$I62</f>
        <v>0.59311408275281507</v>
      </c>
      <c r="K62" s="18">
        <f t="shared" si="4"/>
        <v>7.2243969122929949E-2</v>
      </c>
      <c r="L62" s="17">
        <f t="shared" si="4"/>
        <v>4.68455267327747E-2</v>
      </c>
      <c r="M62" s="17">
        <f t="shared" si="3"/>
        <v>0.18886284696707178</v>
      </c>
      <c r="N62" s="17">
        <f t="shared" si="3"/>
        <v>8.282965854220517E-2</v>
      </c>
      <c r="O62" s="17">
        <f t="shared" si="3"/>
        <v>1.6103915882203362E-2</v>
      </c>
    </row>
    <row r="63" spans="1:15">
      <c r="A63" s="13">
        <v>61</v>
      </c>
      <c r="B63" s="8" t="s">
        <v>77</v>
      </c>
      <c r="C63" s="9">
        <f>34432810+'[1]Local Transfers'!I67</f>
        <v>34413047</v>
      </c>
      <c r="D63" s="9">
        <v>3888421</v>
      </c>
      <c r="E63" s="9">
        <v>1721274</v>
      </c>
      <c r="F63" s="9">
        <v>2197707</v>
      </c>
      <c r="G63" s="9">
        <v>1313151</v>
      </c>
      <c r="H63" s="9">
        <v>0</v>
      </c>
      <c r="I63" s="10">
        <f t="shared" si="1"/>
        <v>43533600</v>
      </c>
      <c r="J63" s="11">
        <f t="shared" si="4"/>
        <v>0.79049394031276987</v>
      </c>
      <c r="K63" s="12">
        <f t="shared" si="4"/>
        <v>8.9319996508444049E-2</v>
      </c>
      <c r="L63" s="11">
        <f t="shared" si="4"/>
        <v>3.9538976790341254E-2</v>
      </c>
      <c r="M63" s="11">
        <f t="shared" si="3"/>
        <v>5.0483006229670876E-2</v>
      </c>
      <c r="N63" s="11">
        <f t="shared" si="3"/>
        <v>3.0164080158773914E-2</v>
      </c>
      <c r="O63" s="11">
        <f t="shared" si="3"/>
        <v>0</v>
      </c>
    </row>
    <row r="64" spans="1:15">
      <c r="A64" s="13">
        <v>62</v>
      </c>
      <c r="B64" s="8" t="s">
        <v>78</v>
      </c>
      <c r="C64" s="9">
        <f>15855774+'[1]Local Transfers'!I68</f>
        <v>15854705</v>
      </c>
      <c r="D64" s="9">
        <v>1749515</v>
      </c>
      <c r="E64" s="9">
        <v>1407832</v>
      </c>
      <c r="F64" s="9">
        <v>2195172</v>
      </c>
      <c r="G64" s="9">
        <v>0</v>
      </c>
      <c r="H64" s="9">
        <v>0</v>
      </c>
      <c r="I64" s="10">
        <f t="shared" si="1"/>
        <v>21207224</v>
      </c>
      <c r="J64" s="11">
        <f t="shared" si="4"/>
        <v>0.74760869220790049</v>
      </c>
      <c r="K64" s="12">
        <f t="shared" si="4"/>
        <v>8.2496181489854589E-2</v>
      </c>
      <c r="L64" s="11">
        <f t="shared" si="4"/>
        <v>6.6384548963126899E-2</v>
      </c>
      <c r="M64" s="11">
        <f t="shared" si="3"/>
        <v>0.10351057733911803</v>
      </c>
      <c r="N64" s="11">
        <f t="shared" si="3"/>
        <v>0</v>
      </c>
      <c r="O64" s="11">
        <f t="shared" si="3"/>
        <v>0</v>
      </c>
    </row>
    <row r="65" spans="1:15">
      <c r="A65" s="13">
        <v>63</v>
      </c>
      <c r="B65" s="8" t="s">
        <v>79</v>
      </c>
      <c r="C65" s="9">
        <f>24891708+'[1]Local Transfers'!I69</f>
        <v>24889068</v>
      </c>
      <c r="D65" s="9">
        <v>2217684</v>
      </c>
      <c r="E65" s="9">
        <v>514514</v>
      </c>
      <c r="F65" s="9">
        <v>1079940</v>
      </c>
      <c r="G65" s="9">
        <v>1044857</v>
      </c>
      <c r="H65" s="9">
        <v>58</v>
      </c>
      <c r="I65" s="10">
        <f t="shared" si="1"/>
        <v>29746121</v>
      </c>
      <c r="J65" s="11">
        <f t="shared" si="4"/>
        <v>0.83671642430285276</v>
      </c>
      <c r="K65" s="12">
        <f t="shared" si="4"/>
        <v>7.4553720802789714E-2</v>
      </c>
      <c r="L65" s="11">
        <f t="shared" si="4"/>
        <v>1.7296843511125367E-2</v>
      </c>
      <c r="M65" s="11">
        <f t="shared" si="3"/>
        <v>3.630523791656734E-2</v>
      </c>
      <c r="N65" s="11">
        <f t="shared" si="3"/>
        <v>3.5125823632600701E-2</v>
      </c>
      <c r="O65" s="11">
        <f t="shared" si="3"/>
        <v>1.9498340640784728E-6</v>
      </c>
    </row>
    <row r="66" spans="1:15">
      <c r="A66" s="13">
        <v>64</v>
      </c>
      <c r="B66" s="8" t="s">
        <v>80</v>
      </c>
      <c r="C66" s="9">
        <f>19673438+'[1]Local Transfers'!I70</f>
        <v>19670871</v>
      </c>
      <c r="D66" s="9">
        <v>2002051</v>
      </c>
      <c r="E66" s="9">
        <v>1517552</v>
      </c>
      <c r="F66" s="9">
        <v>2551129</v>
      </c>
      <c r="G66" s="9">
        <v>1439365</v>
      </c>
      <c r="H66" s="9">
        <v>1264</v>
      </c>
      <c r="I66" s="10">
        <f>SUM(C66:H66)</f>
        <v>27182232</v>
      </c>
      <c r="J66" s="11">
        <f t="shared" si="4"/>
        <v>0.72366651127103909</v>
      </c>
      <c r="K66" s="12">
        <f t="shared" si="4"/>
        <v>7.365292886912303E-2</v>
      </c>
      <c r="L66" s="11">
        <f t="shared" si="4"/>
        <v>5.5828822298330763E-2</v>
      </c>
      <c r="M66" s="11">
        <f t="shared" si="3"/>
        <v>9.3852815324363362E-2</v>
      </c>
      <c r="N66" s="11">
        <f t="shared" si="3"/>
        <v>5.2952421272837343E-2</v>
      </c>
      <c r="O66" s="11">
        <f t="shared" si="3"/>
        <v>4.6500964306389553E-5</v>
      </c>
    </row>
    <row r="67" spans="1:15">
      <c r="A67" s="13">
        <v>65</v>
      </c>
      <c r="B67" s="14" t="s">
        <v>81</v>
      </c>
      <c r="C67" s="9">
        <f>53861188+'[1]Local Transfers'!I71</f>
        <v>53827632</v>
      </c>
      <c r="D67" s="9">
        <v>6343160</v>
      </c>
      <c r="E67" s="9">
        <v>14816997</v>
      </c>
      <c r="F67" s="9">
        <v>30169663</v>
      </c>
      <c r="G67" s="9">
        <v>5732787</v>
      </c>
      <c r="H67" s="9">
        <v>56551</v>
      </c>
      <c r="I67" s="10">
        <f t="shared" si="1"/>
        <v>110946790</v>
      </c>
      <c r="J67" s="11">
        <f t="shared" si="4"/>
        <v>0.48516619543476652</v>
      </c>
      <c r="K67" s="12">
        <f t="shared" si="4"/>
        <v>5.7172992566977381E-2</v>
      </c>
      <c r="L67" s="11">
        <f t="shared" si="4"/>
        <v>0.13355047946858128</v>
      </c>
      <c r="M67" s="11">
        <f t="shared" si="3"/>
        <v>0.27192912025665639</v>
      </c>
      <c r="N67" s="11">
        <f t="shared" si="3"/>
        <v>5.1671499463842079E-2</v>
      </c>
      <c r="O67" s="11">
        <f t="shared" si="3"/>
        <v>5.097128091763628E-4</v>
      </c>
    </row>
    <row r="68" spans="1:15">
      <c r="A68" s="13">
        <v>66</v>
      </c>
      <c r="B68" s="19" t="s">
        <v>82</v>
      </c>
      <c r="C68" s="9">
        <f>21763126+'[1]Local Transfers'!I72</f>
        <v>21758450</v>
      </c>
      <c r="D68" s="9">
        <v>2195389</v>
      </c>
      <c r="E68" s="9">
        <v>2686599</v>
      </c>
      <c r="F68" s="9">
        <v>1974719</v>
      </c>
      <c r="G68" s="9">
        <v>0</v>
      </c>
      <c r="H68" s="9">
        <v>0</v>
      </c>
      <c r="I68" s="10">
        <f>SUM(C68:H68)</f>
        <v>28615157</v>
      </c>
      <c r="J68" s="11">
        <f t="shared" si="4"/>
        <v>0.76038198916748911</v>
      </c>
      <c r="K68" s="12">
        <f t="shared" si="4"/>
        <v>7.6721193596806056E-2</v>
      </c>
      <c r="L68" s="11">
        <f t="shared" si="4"/>
        <v>9.3887271001169059E-2</v>
      </c>
      <c r="M68" s="11">
        <f t="shared" si="4"/>
        <v>6.9009546234535771E-2</v>
      </c>
      <c r="N68" s="11">
        <f t="shared" si="4"/>
        <v>0</v>
      </c>
      <c r="O68" s="11">
        <f t="shared" si="4"/>
        <v>0</v>
      </c>
    </row>
    <row r="69" spans="1:15">
      <c r="A69" s="13">
        <v>67</v>
      </c>
      <c r="B69" s="8" t="s">
        <v>83</v>
      </c>
      <c r="C69" s="9">
        <f>44889774+'[1]Local Transfers'!I73</f>
        <v>44883017.838749997</v>
      </c>
      <c r="D69" s="9">
        <v>2818289</v>
      </c>
      <c r="E69" s="9">
        <v>981374</v>
      </c>
      <c r="F69" s="9">
        <v>2123165</v>
      </c>
      <c r="G69" s="9">
        <v>6691049</v>
      </c>
      <c r="H69" s="9">
        <v>89331</v>
      </c>
      <c r="I69" s="10">
        <f>SUM(C69:H69)</f>
        <v>57586225.838749997</v>
      </c>
      <c r="J69" s="11">
        <f>C69/$I69</f>
        <v>0.77940544262145472</v>
      </c>
      <c r="K69" s="12">
        <f>D69/$I69</f>
        <v>4.8940331805936176E-2</v>
      </c>
      <c r="L69" s="11">
        <f t="shared" si="4"/>
        <v>1.7041818346421822E-2</v>
      </c>
      <c r="M69" s="11">
        <f t="shared" si="4"/>
        <v>3.686932020766872E-2</v>
      </c>
      <c r="N69" s="11">
        <f t="shared" si="4"/>
        <v>0.11619183064255562</v>
      </c>
      <c r="O69" s="11">
        <f t="shared" si="4"/>
        <v>1.5512563759628925E-3</v>
      </c>
    </row>
    <row r="70" spans="1:15">
      <c r="A70" s="13">
        <v>68</v>
      </c>
      <c r="B70" s="8" t="s">
        <v>84</v>
      </c>
      <c r="C70" s="9">
        <f>17143246+'[1]Local Transfers'!I74</f>
        <v>17123582.387499999</v>
      </c>
      <c r="D70" s="9">
        <v>1042388</v>
      </c>
      <c r="E70" s="9">
        <v>1961725</v>
      </c>
      <c r="F70" s="9">
        <v>1109975</v>
      </c>
      <c r="G70" s="9">
        <v>0</v>
      </c>
      <c r="H70" s="9">
        <v>0</v>
      </c>
      <c r="I70" s="10">
        <f>SUM(C70:H70)</f>
        <v>21237670.387499999</v>
      </c>
      <c r="J70" s="11">
        <f>C70/$I70</f>
        <v>0.80628346118313166</v>
      </c>
      <c r="K70" s="12">
        <f>D70/$I70</f>
        <v>4.9082031172944726E-2</v>
      </c>
      <c r="L70" s="11">
        <f t="shared" si="4"/>
        <v>9.2370065275832983E-2</v>
      </c>
      <c r="M70" s="11">
        <f t="shared" si="4"/>
        <v>5.2264442368090691E-2</v>
      </c>
      <c r="N70" s="11">
        <f t="shared" si="4"/>
        <v>0</v>
      </c>
      <c r="O70" s="11">
        <f t="shared" si="4"/>
        <v>0</v>
      </c>
    </row>
    <row r="71" spans="1:15">
      <c r="A71" s="13">
        <v>69</v>
      </c>
      <c r="B71" s="8" t="s">
        <v>85</v>
      </c>
      <c r="C71" s="9">
        <f>33306748+'[1]Local Transfers'!I75</f>
        <v>33298834.73</v>
      </c>
      <c r="D71" s="9">
        <v>2499887</v>
      </c>
      <c r="E71" s="9">
        <v>1649719</v>
      </c>
      <c r="F71" s="9">
        <v>2153622</v>
      </c>
      <c r="G71" s="9">
        <v>3802510</v>
      </c>
      <c r="H71" s="9">
        <v>235720</v>
      </c>
      <c r="I71" s="10">
        <f>SUM(C71:H71)</f>
        <v>43640292.730000004</v>
      </c>
      <c r="J71" s="11">
        <f t="shared" ref="J71:O73" si="5">C71/$I71</f>
        <v>0.76302959139201898</v>
      </c>
      <c r="K71" s="12">
        <f t="shared" si="5"/>
        <v>5.72839191402005E-2</v>
      </c>
      <c r="L71" s="11">
        <f t="shared" si="5"/>
        <v>3.7802656600099294E-2</v>
      </c>
      <c r="M71" s="11">
        <f t="shared" si="5"/>
        <v>4.934939399523134E-2</v>
      </c>
      <c r="N71" s="11">
        <f t="shared" si="5"/>
        <v>8.7133008559908437E-2</v>
      </c>
      <c r="O71" s="11">
        <f t="shared" si="5"/>
        <v>5.4014303125413518E-3</v>
      </c>
    </row>
    <row r="72" spans="1:15" ht="12.75" customHeight="1">
      <c r="A72" s="13">
        <v>396</v>
      </c>
      <c r="B72" s="8" t="s">
        <v>86</v>
      </c>
      <c r="C72" s="9">
        <f>79297709-3134504</f>
        <v>76163205</v>
      </c>
      <c r="D72" s="9">
        <f>27356359-'[1]Hurricane Data'!G13</f>
        <v>10764158</v>
      </c>
      <c r="E72" s="9">
        <v>14111985</v>
      </c>
      <c r="F72" s="9">
        <f>27653380-'[1]Hurricane Data'!I13-9877373</f>
        <v>17776010</v>
      </c>
      <c r="G72" s="9">
        <v>0</v>
      </c>
      <c r="H72" s="9">
        <f>67523048-'[1]Hurricane Data'!K13</f>
        <v>0</v>
      </c>
      <c r="I72" s="10">
        <f>SUM(C72:H72)</f>
        <v>118815358</v>
      </c>
      <c r="J72" s="11">
        <f t="shared" si="5"/>
        <v>0.6410215504295329</v>
      </c>
      <c r="K72" s="12">
        <f t="shared" si="5"/>
        <v>9.0595678716887756E-2</v>
      </c>
      <c r="L72" s="11">
        <f t="shared" si="5"/>
        <v>0.11877239809351919</v>
      </c>
      <c r="M72" s="11">
        <f t="shared" si="5"/>
        <v>0.1496103727600602</v>
      </c>
      <c r="N72" s="11">
        <f t="shared" si="5"/>
        <v>0</v>
      </c>
      <c r="O72" s="11">
        <f t="shared" si="5"/>
        <v>0</v>
      </c>
    </row>
    <row r="73" spans="1:15">
      <c r="A73" s="20"/>
      <c r="B73" s="21" t="s">
        <v>87</v>
      </c>
      <c r="C73" s="22">
        <f t="shared" ref="C73:I73" si="6">SUM(C3:C72)</f>
        <v>5472470120.0834885</v>
      </c>
      <c r="D73" s="22">
        <f t="shared" si="6"/>
        <v>549988908</v>
      </c>
      <c r="E73" s="22">
        <f t="shared" si="6"/>
        <v>435434876</v>
      </c>
      <c r="F73" s="22">
        <f t="shared" si="6"/>
        <v>761588858</v>
      </c>
      <c r="G73" s="22">
        <f t="shared" si="6"/>
        <v>271576172</v>
      </c>
      <c r="H73" s="22">
        <f t="shared" si="6"/>
        <v>171984634</v>
      </c>
      <c r="I73" s="23">
        <f t="shared" si="6"/>
        <v>7663043568.0834894</v>
      </c>
      <c r="J73" s="24">
        <f t="shared" si="5"/>
        <v>0.71413793637769196</v>
      </c>
      <c r="K73" s="25">
        <f t="shared" si="5"/>
        <v>7.1771601337450183E-2</v>
      </c>
      <c r="L73" s="24">
        <f t="shared" si="5"/>
        <v>5.6822706556645786E-2</v>
      </c>
      <c r="M73" s="24">
        <f t="shared" si="5"/>
        <v>9.9384644134350358E-2</v>
      </c>
      <c r="N73" s="24">
        <f t="shared" si="5"/>
        <v>3.5439726994521137E-2</v>
      </c>
      <c r="O73" s="24">
        <f t="shared" si="5"/>
        <v>2.2443384599340466E-2</v>
      </c>
    </row>
    <row r="74" spans="1:15">
      <c r="A74" s="26"/>
      <c r="B74" s="27"/>
      <c r="C74" s="28"/>
      <c r="D74" s="28"/>
      <c r="E74" s="28"/>
      <c r="F74" s="28"/>
      <c r="G74" s="28"/>
      <c r="H74" s="28"/>
      <c r="I74" s="29"/>
      <c r="J74" s="30"/>
      <c r="K74" s="31"/>
      <c r="L74" s="31"/>
      <c r="M74" s="31"/>
      <c r="N74" s="31"/>
      <c r="O74" s="32"/>
    </row>
    <row r="75" spans="1:15">
      <c r="A75" s="33">
        <v>318</v>
      </c>
      <c r="B75" s="19" t="s">
        <v>88</v>
      </c>
      <c r="C75" s="34">
        <v>10606478</v>
      </c>
      <c r="D75" s="34">
        <v>135158</v>
      </c>
      <c r="E75" s="34">
        <v>0</v>
      </c>
      <c r="F75" s="34">
        <v>1915735</v>
      </c>
      <c r="G75" s="34">
        <v>0</v>
      </c>
      <c r="H75" s="34">
        <v>3</v>
      </c>
      <c r="I75" s="35">
        <f>SUM(C75:H75)</f>
        <v>12657374</v>
      </c>
      <c r="J75" s="36">
        <f t="shared" ref="J75:O77" si="7">C75/$I75</f>
        <v>0.83796828631278497</v>
      </c>
      <c r="K75" s="37">
        <f t="shared" si="7"/>
        <v>1.0678202287457098E-2</v>
      </c>
      <c r="L75" s="36">
        <f t="shared" si="7"/>
        <v>0</v>
      </c>
      <c r="M75" s="36">
        <f t="shared" si="7"/>
        <v>0.15135327438377028</v>
      </c>
      <c r="N75" s="36">
        <f t="shared" si="7"/>
        <v>0</v>
      </c>
      <c r="O75" s="36">
        <f t="shared" si="7"/>
        <v>2.3701598767643272E-7</v>
      </c>
    </row>
    <row r="76" spans="1:15" ht="12.75" customHeight="1">
      <c r="A76" s="38">
        <v>319</v>
      </c>
      <c r="B76" s="39" t="s">
        <v>89</v>
      </c>
      <c r="C76" s="40">
        <v>1938195</v>
      </c>
      <c r="D76" s="40">
        <v>0</v>
      </c>
      <c r="E76" s="40">
        <v>0</v>
      </c>
      <c r="F76" s="40">
        <v>380203</v>
      </c>
      <c r="G76" s="40">
        <v>0</v>
      </c>
      <c r="H76" s="40">
        <v>0</v>
      </c>
      <c r="I76" s="41">
        <f>SUM(C76:H76)</f>
        <v>2318398</v>
      </c>
      <c r="J76" s="42">
        <f t="shared" si="7"/>
        <v>0.83600615597494476</v>
      </c>
      <c r="K76" s="43">
        <f t="shared" si="7"/>
        <v>0</v>
      </c>
      <c r="L76" s="42">
        <f t="shared" si="7"/>
        <v>0</v>
      </c>
      <c r="M76" s="42">
        <f t="shared" si="7"/>
        <v>0.16399384402505524</v>
      </c>
      <c r="N76" s="42">
        <f t="shared" si="7"/>
        <v>0</v>
      </c>
      <c r="O76" s="42">
        <f t="shared" si="7"/>
        <v>0</v>
      </c>
    </row>
    <row r="77" spans="1:15">
      <c r="A77" s="44"/>
      <c r="B77" s="45" t="s">
        <v>90</v>
      </c>
      <c r="C77" s="46">
        <f>SUM(C75:C76)</f>
        <v>12544673</v>
      </c>
      <c r="D77" s="46">
        <f t="shared" ref="D77:I77" si="8">SUM(D75:D76)</f>
        <v>135158</v>
      </c>
      <c r="E77" s="46">
        <f t="shared" si="8"/>
        <v>0</v>
      </c>
      <c r="F77" s="46">
        <f t="shared" si="8"/>
        <v>2295938</v>
      </c>
      <c r="G77" s="46">
        <f t="shared" si="8"/>
        <v>0</v>
      </c>
      <c r="H77" s="46">
        <f t="shared" si="8"/>
        <v>3</v>
      </c>
      <c r="I77" s="47">
        <f t="shared" si="8"/>
        <v>14975772</v>
      </c>
      <c r="J77" s="48">
        <f t="shared" si="7"/>
        <v>0.83766452908070443</v>
      </c>
      <c r="K77" s="49">
        <f t="shared" si="7"/>
        <v>9.0251106921232505E-3</v>
      </c>
      <c r="L77" s="50">
        <f t="shared" si="7"/>
        <v>0</v>
      </c>
      <c r="M77" s="50">
        <f t="shared" si="7"/>
        <v>0.15331015990360963</v>
      </c>
      <c r="N77" s="50">
        <f t="shared" si="7"/>
        <v>0</v>
      </c>
      <c r="O77" s="51">
        <f t="shared" si="7"/>
        <v>2.0032356261834113E-7</v>
      </c>
    </row>
    <row r="78" spans="1:15">
      <c r="A78" s="52"/>
      <c r="B78" s="53"/>
      <c r="C78" s="28"/>
      <c r="D78" s="28"/>
      <c r="E78" s="28"/>
      <c r="F78" s="28"/>
      <c r="G78" s="28"/>
      <c r="H78" s="28"/>
      <c r="I78" s="29"/>
      <c r="J78" s="30"/>
      <c r="K78" s="31"/>
      <c r="L78" s="31"/>
      <c r="M78" s="31"/>
      <c r="N78" s="31"/>
      <c r="O78" s="32"/>
    </row>
    <row r="79" spans="1:15">
      <c r="A79" s="54">
        <v>321001</v>
      </c>
      <c r="B79" s="55" t="s">
        <v>91</v>
      </c>
      <c r="C79" s="56">
        <v>3084223</v>
      </c>
      <c r="D79" s="56">
        <v>60122</v>
      </c>
      <c r="E79" s="56">
        <v>642500</v>
      </c>
      <c r="F79" s="56">
        <v>278768</v>
      </c>
      <c r="G79" s="56">
        <v>0</v>
      </c>
      <c r="H79" s="56">
        <v>0</v>
      </c>
      <c r="I79" s="57">
        <f t="shared" ref="I79:I90" si="9">SUM(C79:H79)</f>
        <v>4065613</v>
      </c>
      <c r="J79" s="11">
        <f t="shared" ref="J79:O91" si="10">C79/$I79</f>
        <v>0.75861204694101481</v>
      </c>
      <c r="K79" s="12">
        <f t="shared" si="10"/>
        <v>1.4787929889047481E-2</v>
      </c>
      <c r="L79" s="11">
        <f t="shared" si="10"/>
        <v>0.15803274930496336</v>
      </c>
      <c r="M79" s="11">
        <f t="shared" si="10"/>
        <v>6.8567273864974354E-2</v>
      </c>
      <c r="N79" s="11">
        <f t="shared" si="10"/>
        <v>0</v>
      </c>
      <c r="O79" s="11">
        <f t="shared" si="10"/>
        <v>0</v>
      </c>
    </row>
    <row r="80" spans="1:15">
      <c r="A80" s="13">
        <v>329001</v>
      </c>
      <c r="B80" s="8" t="s">
        <v>92</v>
      </c>
      <c r="C80" s="56">
        <v>3341137</v>
      </c>
      <c r="D80" s="56">
        <v>132273</v>
      </c>
      <c r="E80" s="56">
        <v>208095</v>
      </c>
      <c r="F80" s="56">
        <v>230602</v>
      </c>
      <c r="G80" s="56">
        <v>0</v>
      </c>
      <c r="H80" s="56">
        <v>0</v>
      </c>
      <c r="I80" s="57">
        <f t="shared" si="9"/>
        <v>3912107</v>
      </c>
      <c r="J80" s="11">
        <f t="shared" si="10"/>
        <v>0.85405051548947919</v>
      </c>
      <c r="K80" s="12">
        <f t="shared" si="10"/>
        <v>3.3811191769550268E-2</v>
      </c>
      <c r="L80" s="11">
        <f t="shared" si="10"/>
        <v>5.3192563495834851E-2</v>
      </c>
      <c r="M80" s="11">
        <f t="shared" si="10"/>
        <v>5.8945729245135678E-2</v>
      </c>
      <c r="N80" s="11">
        <f t="shared" si="10"/>
        <v>0</v>
      </c>
      <c r="O80" s="11">
        <f t="shared" si="10"/>
        <v>0</v>
      </c>
    </row>
    <row r="81" spans="1:15">
      <c r="A81" s="13">
        <v>331001</v>
      </c>
      <c r="B81" s="8" t="s">
        <v>93</v>
      </c>
      <c r="C81" s="56">
        <v>4723075</v>
      </c>
      <c r="D81" s="56">
        <v>236874</v>
      </c>
      <c r="E81" s="56">
        <v>168741</v>
      </c>
      <c r="F81" s="56">
        <v>478359</v>
      </c>
      <c r="G81" s="56">
        <v>0</v>
      </c>
      <c r="H81" s="56">
        <v>0</v>
      </c>
      <c r="I81" s="57">
        <f t="shared" si="9"/>
        <v>5607049</v>
      </c>
      <c r="J81" s="11">
        <f t="shared" si="10"/>
        <v>0.84234594703916443</v>
      </c>
      <c r="K81" s="12">
        <f t="shared" si="10"/>
        <v>4.2245751731436625E-2</v>
      </c>
      <c r="L81" s="11">
        <f t="shared" si="10"/>
        <v>3.0094440052155776E-2</v>
      </c>
      <c r="M81" s="11">
        <f t="shared" si="10"/>
        <v>8.5313861177243142E-2</v>
      </c>
      <c r="N81" s="11">
        <f t="shared" si="10"/>
        <v>0</v>
      </c>
      <c r="O81" s="11">
        <f t="shared" si="10"/>
        <v>0</v>
      </c>
    </row>
    <row r="82" spans="1:15">
      <c r="A82" s="13">
        <v>333001</v>
      </c>
      <c r="B82" s="8" t="s">
        <v>94</v>
      </c>
      <c r="C82" s="56">
        <v>4915232</v>
      </c>
      <c r="D82" s="56">
        <v>108192</v>
      </c>
      <c r="E82" s="56">
        <v>266386</v>
      </c>
      <c r="F82" s="56">
        <v>209601</v>
      </c>
      <c r="G82" s="56">
        <v>0</v>
      </c>
      <c r="H82" s="56">
        <v>0</v>
      </c>
      <c r="I82" s="57">
        <f t="shared" si="9"/>
        <v>5499411</v>
      </c>
      <c r="J82" s="11">
        <f t="shared" si="10"/>
        <v>0.8937742605526301</v>
      </c>
      <c r="K82" s="12">
        <f t="shared" si="10"/>
        <v>1.9673379567375488E-2</v>
      </c>
      <c r="L82" s="11">
        <f t="shared" si="10"/>
        <v>4.8439005558958949E-2</v>
      </c>
      <c r="M82" s="11">
        <f t="shared" si="10"/>
        <v>3.8113354321035471E-2</v>
      </c>
      <c r="N82" s="11">
        <f t="shared" si="10"/>
        <v>0</v>
      </c>
      <c r="O82" s="11">
        <f t="shared" si="10"/>
        <v>0</v>
      </c>
    </row>
    <row r="83" spans="1:15">
      <c r="A83" s="58">
        <v>336001</v>
      </c>
      <c r="B83" s="59" t="s">
        <v>95</v>
      </c>
      <c r="C83" s="40">
        <v>6214429</v>
      </c>
      <c r="D83" s="40">
        <v>115393</v>
      </c>
      <c r="E83" s="40">
        <v>176020</v>
      </c>
      <c r="F83" s="40">
        <v>343826</v>
      </c>
      <c r="G83" s="40">
        <v>0</v>
      </c>
      <c r="H83" s="40">
        <v>0</v>
      </c>
      <c r="I83" s="41">
        <f t="shared" si="9"/>
        <v>6849668</v>
      </c>
      <c r="J83" s="42">
        <f t="shared" si="10"/>
        <v>0.9072598847126605</v>
      </c>
      <c r="K83" s="43">
        <f t="shared" si="10"/>
        <v>1.6846509933036172E-2</v>
      </c>
      <c r="L83" s="42">
        <f t="shared" si="10"/>
        <v>2.569759585428082E-2</v>
      </c>
      <c r="M83" s="42">
        <f t="shared" si="10"/>
        <v>5.0196009500022482E-2</v>
      </c>
      <c r="N83" s="42">
        <f t="shared" si="10"/>
        <v>0</v>
      </c>
      <c r="O83" s="42">
        <f t="shared" si="10"/>
        <v>0</v>
      </c>
    </row>
    <row r="84" spans="1:15">
      <c r="A84" s="54">
        <v>337001</v>
      </c>
      <c r="B84" s="55" t="s">
        <v>96</v>
      </c>
      <c r="C84" s="56">
        <v>14173628</v>
      </c>
      <c r="D84" s="56">
        <v>129978</v>
      </c>
      <c r="E84" s="56">
        <v>250062</v>
      </c>
      <c r="F84" s="56">
        <v>373436</v>
      </c>
      <c r="G84" s="56">
        <v>0</v>
      </c>
      <c r="H84" s="56">
        <v>0</v>
      </c>
      <c r="I84" s="57">
        <f t="shared" si="9"/>
        <v>14927104</v>
      </c>
      <c r="J84" s="11">
        <f t="shared" si="10"/>
        <v>0.94952296172117512</v>
      </c>
      <c r="K84" s="12">
        <f t="shared" si="10"/>
        <v>8.7075162067605343E-3</v>
      </c>
      <c r="L84" s="11">
        <f t="shared" si="10"/>
        <v>1.6752211279562331E-2</v>
      </c>
      <c r="M84" s="11">
        <f t="shared" si="10"/>
        <v>2.5017310792502016E-2</v>
      </c>
      <c r="N84" s="11">
        <f t="shared" si="10"/>
        <v>0</v>
      </c>
      <c r="O84" s="11">
        <f t="shared" si="10"/>
        <v>0</v>
      </c>
    </row>
    <row r="85" spans="1:15">
      <c r="A85" s="13">
        <v>339001</v>
      </c>
      <c r="B85" s="8" t="s">
        <v>97</v>
      </c>
      <c r="C85" s="56">
        <v>3569356</v>
      </c>
      <c r="D85" s="56">
        <v>97534</v>
      </c>
      <c r="E85" s="56">
        <v>269179</v>
      </c>
      <c r="F85" s="56">
        <v>257163</v>
      </c>
      <c r="G85" s="56">
        <v>0</v>
      </c>
      <c r="H85" s="56">
        <v>0</v>
      </c>
      <c r="I85" s="57">
        <f t="shared" si="9"/>
        <v>4193232</v>
      </c>
      <c r="J85" s="11">
        <f t="shared" si="10"/>
        <v>0.85121834422707832</v>
      </c>
      <c r="K85" s="12">
        <f t="shared" si="10"/>
        <v>2.3259862559476794E-2</v>
      </c>
      <c r="L85" s="11">
        <f t="shared" si="10"/>
        <v>6.4193681627918511E-2</v>
      </c>
      <c r="M85" s="11">
        <f t="shared" si="10"/>
        <v>6.1328111585526389E-2</v>
      </c>
      <c r="N85" s="11">
        <f t="shared" si="10"/>
        <v>0</v>
      </c>
      <c r="O85" s="11">
        <f t="shared" si="10"/>
        <v>0</v>
      </c>
    </row>
    <row r="86" spans="1:15">
      <c r="A86" s="13">
        <v>340001</v>
      </c>
      <c r="B86" s="8" t="s">
        <v>98</v>
      </c>
      <c r="C86" s="56">
        <v>1023945</v>
      </c>
      <c r="D86" s="56">
        <v>43574</v>
      </c>
      <c r="E86" s="56">
        <v>27479</v>
      </c>
      <c r="F86" s="56">
        <v>0</v>
      </c>
      <c r="G86" s="56">
        <v>0</v>
      </c>
      <c r="H86" s="56">
        <v>0</v>
      </c>
      <c r="I86" s="57">
        <f t="shared" si="9"/>
        <v>1094998</v>
      </c>
      <c r="J86" s="11">
        <f t="shared" si="10"/>
        <v>0.93511129700693518</v>
      </c>
      <c r="K86" s="12">
        <f t="shared" si="10"/>
        <v>3.97936799884566E-2</v>
      </c>
      <c r="L86" s="11">
        <f t="shared" si="10"/>
        <v>2.5095023004608228E-2</v>
      </c>
      <c r="M86" s="11">
        <f t="shared" si="10"/>
        <v>0</v>
      </c>
      <c r="N86" s="11">
        <f t="shared" si="10"/>
        <v>0</v>
      </c>
      <c r="O86" s="11">
        <f t="shared" si="10"/>
        <v>0</v>
      </c>
    </row>
    <row r="87" spans="1:15">
      <c r="A87" s="13">
        <v>341001</v>
      </c>
      <c r="B87" s="8" t="s">
        <v>99</v>
      </c>
      <c r="C87" s="56">
        <v>2717119</v>
      </c>
      <c r="D87" s="56">
        <v>322834</v>
      </c>
      <c r="E87" s="56">
        <v>98078</v>
      </c>
      <c r="F87" s="56">
        <v>130530</v>
      </c>
      <c r="G87" s="56">
        <v>0</v>
      </c>
      <c r="H87" s="56">
        <v>17113</v>
      </c>
      <c r="I87" s="57">
        <f t="shared" si="9"/>
        <v>3285674</v>
      </c>
      <c r="J87" s="11">
        <f t="shared" si="10"/>
        <v>0.82695940011090574</v>
      </c>
      <c r="K87" s="12">
        <f t="shared" si="10"/>
        <v>9.8255030779073035E-2</v>
      </c>
      <c r="L87" s="11">
        <f t="shared" si="10"/>
        <v>2.9850192076268066E-2</v>
      </c>
      <c r="M87" s="11">
        <f t="shared" si="10"/>
        <v>3.9727008826803877E-2</v>
      </c>
      <c r="N87" s="11">
        <f t="shared" si="10"/>
        <v>0</v>
      </c>
      <c r="O87" s="11">
        <f t="shared" si="10"/>
        <v>5.2083682069493202E-3</v>
      </c>
    </row>
    <row r="88" spans="1:15">
      <c r="A88" s="58">
        <v>342001</v>
      </c>
      <c r="B88" s="59" t="s">
        <v>100</v>
      </c>
      <c r="C88" s="40">
        <v>880874</v>
      </c>
      <c r="D88" s="40">
        <v>240039</v>
      </c>
      <c r="E88" s="40">
        <v>13591</v>
      </c>
      <c r="F88" s="40">
        <v>43325</v>
      </c>
      <c r="G88" s="40">
        <v>0</v>
      </c>
      <c r="H88" s="40">
        <v>0</v>
      </c>
      <c r="I88" s="41">
        <f t="shared" si="9"/>
        <v>1177829</v>
      </c>
      <c r="J88" s="42">
        <f t="shared" si="10"/>
        <v>0.74787936109571085</v>
      </c>
      <c r="K88" s="43">
        <f t="shared" si="10"/>
        <v>0.20379783483001351</v>
      </c>
      <c r="L88" s="42">
        <f t="shared" si="10"/>
        <v>1.1539026463094388E-2</v>
      </c>
      <c r="M88" s="42">
        <f t="shared" si="10"/>
        <v>3.6783777611181248E-2</v>
      </c>
      <c r="N88" s="42">
        <f t="shared" si="10"/>
        <v>0</v>
      </c>
      <c r="O88" s="42">
        <f t="shared" si="10"/>
        <v>0</v>
      </c>
    </row>
    <row r="89" spans="1:15">
      <c r="A89" s="33">
        <v>343001</v>
      </c>
      <c r="B89" s="19" t="s">
        <v>101</v>
      </c>
      <c r="C89" s="34">
        <v>1783436</v>
      </c>
      <c r="D89" s="34">
        <v>231593</v>
      </c>
      <c r="E89" s="34">
        <v>45242</v>
      </c>
      <c r="F89" s="34">
        <v>78927</v>
      </c>
      <c r="G89" s="34">
        <v>0</v>
      </c>
      <c r="H89" s="34">
        <v>9567</v>
      </c>
      <c r="I89" s="35">
        <f t="shared" si="9"/>
        <v>2148765</v>
      </c>
      <c r="J89" s="36">
        <f t="shared" si="10"/>
        <v>0.8299818733086215</v>
      </c>
      <c r="K89" s="37">
        <f t="shared" si="10"/>
        <v>0.10777958501744025</v>
      </c>
      <c r="L89" s="36">
        <f t="shared" si="10"/>
        <v>2.1054885015346025E-2</v>
      </c>
      <c r="M89" s="36">
        <f t="shared" si="10"/>
        <v>3.6731331718452227E-2</v>
      </c>
      <c r="N89" s="36">
        <f t="shared" si="10"/>
        <v>0</v>
      </c>
      <c r="O89" s="36">
        <f t="shared" si="10"/>
        <v>4.4523249401400341E-3</v>
      </c>
    </row>
    <row r="90" spans="1:15" s="60" customFormat="1">
      <c r="A90" s="58">
        <v>344001</v>
      </c>
      <c r="B90" s="59" t="s">
        <v>102</v>
      </c>
      <c r="C90" s="40">
        <v>1430131</v>
      </c>
      <c r="D90" s="40">
        <v>423649</v>
      </c>
      <c r="E90" s="40">
        <v>45142</v>
      </c>
      <c r="F90" s="40">
        <v>380814</v>
      </c>
      <c r="G90" s="40">
        <v>0</v>
      </c>
      <c r="H90" s="40">
        <v>0</v>
      </c>
      <c r="I90" s="41">
        <f t="shared" si="9"/>
        <v>2279736</v>
      </c>
      <c r="J90" s="42">
        <f t="shared" si="10"/>
        <v>0.6273230760052918</v>
      </c>
      <c r="K90" s="43">
        <f t="shared" si="10"/>
        <v>0.18583248235760633</v>
      </c>
      <c r="L90" s="42">
        <f t="shared" si="10"/>
        <v>1.9801415602508362E-2</v>
      </c>
      <c r="M90" s="42">
        <f t="shared" si="10"/>
        <v>0.16704302603459348</v>
      </c>
      <c r="N90" s="42">
        <f t="shared" si="10"/>
        <v>0</v>
      </c>
      <c r="O90" s="42">
        <f t="shared" si="10"/>
        <v>0</v>
      </c>
    </row>
    <row r="91" spans="1:15">
      <c r="A91" s="44"/>
      <c r="B91" s="45" t="s">
        <v>103</v>
      </c>
      <c r="C91" s="46">
        <f t="shared" ref="C91:I91" si="11">SUM(C79:C90)</f>
        <v>47856585</v>
      </c>
      <c r="D91" s="46">
        <f t="shared" si="11"/>
        <v>2142055</v>
      </c>
      <c r="E91" s="46">
        <f t="shared" si="11"/>
        <v>2210515</v>
      </c>
      <c r="F91" s="46">
        <f t="shared" si="11"/>
        <v>2805351</v>
      </c>
      <c r="G91" s="46">
        <f t="shared" si="11"/>
        <v>0</v>
      </c>
      <c r="H91" s="46">
        <f t="shared" si="11"/>
        <v>26680</v>
      </c>
      <c r="I91" s="47">
        <f t="shared" si="11"/>
        <v>55041186</v>
      </c>
      <c r="J91" s="48">
        <f t="shared" si="10"/>
        <v>0.86946863753989601</v>
      </c>
      <c r="K91" s="49">
        <f t="shared" si="10"/>
        <v>3.8917311847168408E-2</v>
      </c>
      <c r="L91" s="50">
        <f t="shared" si="10"/>
        <v>4.0161107720316926E-2</v>
      </c>
      <c r="M91" s="50">
        <f t="shared" si="10"/>
        <v>5.096821496542607E-2</v>
      </c>
      <c r="N91" s="50">
        <f t="shared" si="10"/>
        <v>0</v>
      </c>
      <c r="O91" s="51">
        <f t="shared" si="10"/>
        <v>4.8472792719255722E-4</v>
      </c>
    </row>
    <row r="92" spans="1:15">
      <c r="A92" s="26"/>
      <c r="B92" s="53"/>
      <c r="C92" s="28"/>
      <c r="D92" s="28"/>
      <c r="E92" s="28"/>
      <c r="F92" s="28"/>
      <c r="G92" s="28"/>
      <c r="H92" s="28"/>
      <c r="I92" s="29"/>
      <c r="J92" s="30"/>
      <c r="K92" s="31"/>
      <c r="L92" s="31"/>
      <c r="M92" s="31"/>
      <c r="N92" s="31"/>
      <c r="O92" s="32"/>
    </row>
    <row r="93" spans="1:15">
      <c r="A93" s="19">
        <v>300001</v>
      </c>
      <c r="B93" s="19" t="s">
        <v>104</v>
      </c>
      <c r="C93" s="56">
        <v>2747832</v>
      </c>
      <c r="D93" s="56">
        <v>332191</v>
      </c>
      <c r="E93" s="56">
        <v>764159</v>
      </c>
      <c r="F93" s="56">
        <v>236304</v>
      </c>
      <c r="G93" s="56">
        <v>0</v>
      </c>
      <c r="H93" s="56">
        <v>0</v>
      </c>
      <c r="I93" s="57">
        <f>SUM(C93:H93)</f>
        <v>4080486</v>
      </c>
      <c r="J93" s="11">
        <f t="shared" ref="J93:O108" si="12">C93/$I93</f>
        <v>0.67340802051520332</v>
      </c>
      <c r="K93" s="12">
        <f t="shared" si="12"/>
        <v>8.1409665417305682E-2</v>
      </c>
      <c r="L93" s="11">
        <f t="shared" si="12"/>
        <v>0.18727156520081187</v>
      </c>
      <c r="M93" s="11">
        <f t="shared" si="12"/>
        <v>5.7910748866679115E-2</v>
      </c>
      <c r="N93" s="11">
        <f t="shared" si="12"/>
        <v>0</v>
      </c>
      <c r="O93" s="11">
        <f t="shared" si="12"/>
        <v>0</v>
      </c>
    </row>
    <row r="94" spans="1:15">
      <c r="A94" s="13">
        <v>300002</v>
      </c>
      <c r="B94" s="8" t="s">
        <v>105</v>
      </c>
      <c r="C94" s="56">
        <v>3047526</v>
      </c>
      <c r="D94" s="56">
        <v>319344</v>
      </c>
      <c r="E94" s="56">
        <v>647068</v>
      </c>
      <c r="F94" s="56">
        <v>456205</v>
      </c>
      <c r="G94" s="56">
        <v>0</v>
      </c>
      <c r="H94" s="56">
        <v>0</v>
      </c>
      <c r="I94" s="57">
        <f>SUM(C94:H94)</f>
        <v>4470143</v>
      </c>
      <c r="J94" s="11">
        <f t="shared" si="12"/>
        <v>0.68175134442007779</v>
      </c>
      <c r="K94" s="12">
        <f t="shared" si="12"/>
        <v>7.1439325319122907E-2</v>
      </c>
      <c r="L94" s="11">
        <f t="shared" si="12"/>
        <v>0.14475331102383079</v>
      </c>
      <c r="M94" s="11">
        <f t="shared" si="12"/>
        <v>0.10205601923696848</v>
      </c>
      <c r="N94" s="11">
        <f t="shared" si="12"/>
        <v>0</v>
      </c>
      <c r="O94" s="11">
        <f t="shared" si="12"/>
        <v>0</v>
      </c>
    </row>
    <row r="95" spans="1:15">
      <c r="A95" s="13">
        <v>300003</v>
      </c>
      <c r="B95" s="8" t="s">
        <v>106</v>
      </c>
      <c r="C95" s="56">
        <v>2969730</v>
      </c>
      <c r="D95" s="56">
        <v>156506</v>
      </c>
      <c r="E95" s="56">
        <v>350588</v>
      </c>
      <c r="F95" s="56">
        <v>163982</v>
      </c>
      <c r="G95" s="56">
        <v>0</v>
      </c>
      <c r="H95" s="56">
        <v>0</v>
      </c>
      <c r="I95" s="57">
        <f t="shared" ref="I95:I145" si="13">SUM(C95:H95)</f>
        <v>3640806</v>
      </c>
      <c r="J95" s="11">
        <f t="shared" si="12"/>
        <v>0.81567927541319152</v>
      </c>
      <c r="K95" s="12">
        <f t="shared" si="12"/>
        <v>4.2986635376891819E-2</v>
      </c>
      <c r="L95" s="11">
        <f t="shared" si="12"/>
        <v>9.6294062358719471E-2</v>
      </c>
      <c r="M95" s="11">
        <f t="shared" si="12"/>
        <v>4.5040026851197235E-2</v>
      </c>
      <c r="N95" s="11">
        <f t="shared" si="12"/>
        <v>0</v>
      </c>
      <c r="O95" s="11">
        <f t="shared" si="12"/>
        <v>0</v>
      </c>
    </row>
    <row r="96" spans="1:15">
      <c r="A96" s="61">
        <v>300004</v>
      </c>
      <c r="B96" s="62" t="s">
        <v>107</v>
      </c>
      <c r="C96" s="56">
        <v>2973118</v>
      </c>
      <c r="D96" s="56">
        <v>359242</v>
      </c>
      <c r="E96" s="56">
        <v>332486</v>
      </c>
      <c r="F96" s="56">
        <v>252349</v>
      </c>
      <c r="G96" s="56">
        <v>0</v>
      </c>
      <c r="H96" s="56">
        <v>0</v>
      </c>
      <c r="I96" s="57">
        <f t="shared" si="13"/>
        <v>3917195</v>
      </c>
      <c r="J96" s="11">
        <f t="shared" si="12"/>
        <v>0.75899157432805875</v>
      </c>
      <c r="K96" s="12">
        <f t="shared" si="12"/>
        <v>9.1708990744652746E-2</v>
      </c>
      <c r="L96" s="11">
        <f t="shared" si="12"/>
        <v>8.4878592972777708E-2</v>
      </c>
      <c r="M96" s="11">
        <f t="shared" si="12"/>
        <v>6.442084195451081E-2</v>
      </c>
      <c r="N96" s="11">
        <f t="shared" si="12"/>
        <v>0</v>
      </c>
      <c r="O96" s="11">
        <f t="shared" si="12"/>
        <v>0</v>
      </c>
    </row>
    <row r="97" spans="1:15">
      <c r="A97" s="63">
        <v>366001</v>
      </c>
      <c r="B97" s="64" t="s">
        <v>108</v>
      </c>
      <c r="C97" s="40">
        <v>1233716</v>
      </c>
      <c r="D97" s="40">
        <v>263500</v>
      </c>
      <c r="E97" s="40">
        <v>53539</v>
      </c>
      <c r="F97" s="40">
        <v>34746</v>
      </c>
      <c r="G97" s="40">
        <v>0</v>
      </c>
      <c r="H97" s="40">
        <v>0</v>
      </c>
      <c r="I97" s="41">
        <f t="shared" si="13"/>
        <v>1585501</v>
      </c>
      <c r="J97" s="42">
        <f t="shared" si="12"/>
        <v>0.7781237602499147</v>
      </c>
      <c r="K97" s="43">
        <f t="shared" si="12"/>
        <v>0.16619352494889628</v>
      </c>
      <c r="L97" s="42">
        <f t="shared" si="12"/>
        <v>3.3767875264663974E-2</v>
      </c>
      <c r="M97" s="42">
        <f t="shared" si="12"/>
        <v>2.1914839536525049E-2</v>
      </c>
      <c r="N97" s="42">
        <f t="shared" si="12"/>
        <v>0</v>
      </c>
      <c r="O97" s="42">
        <f t="shared" si="12"/>
        <v>0</v>
      </c>
    </row>
    <row r="98" spans="1:15">
      <c r="A98" s="61">
        <v>367001</v>
      </c>
      <c r="B98" s="62" t="s">
        <v>109</v>
      </c>
      <c r="C98" s="56">
        <v>2889647</v>
      </c>
      <c r="D98" s="56">
        <v>392170</v>
      </c>
      <c r="E98" s="56">
        <v>504844</v>
      </c>
      <c r="F98" s="56">
        <v>192047</v>
      </c>
      <c r="G98" s="56">
        <v>0</v>
      </c>
      <c r="H98" s="56">
        <v>0</v>
      </c>
      <c r="I98" s="57">
        <f t="shared" si="13"/>
        <v>3978708</v>
      </c>
      <c r="J98" s="11">
        <f t="shared" si="12"/>
        <v>0.72627772633729337</v>
      </c>
      <c r="K98" s="12">
        <f t="shared" si="12"/>
        <v>9.8567173062210148E-2</v>
      </c>
      <c r="L98" s="11">
        <f t="shared" si="12"/>
        <v>0.12688641639446774</v>
      </c>
      <c r="M98" s="11">
        <f t="shared" si="12"/>
        <v>4.8268684206028693E-2</v>
      </c>
      <c r="N98" s="11">
        <f t="shared" si="12"/>
        <v>0</v>
      </c>
      <c r="O98" s="11">
        <f t="shared" si="12"/>
        <v>0</v>
      </c>
    </row>
    <row r="99" spans="1:15">
      <c r="A99" s="61">
        <v>368001</v>
      </c>
      <c r="B99" s="62" t="s">
        <v>110</v>
      </c>
      <c r="C99" s="56">
        <v>1348759</v>
      </c>
      <c r="D99" s="56">
        <v>324152</v>
      </c>
      <c r="E99" s="56">
        <v>82717</v>
      </c>
      <c r="F99" s="56">
        <v>243495</v>
      </c>
      <c r="G99" s="56">
        <v>0</v>
      </c>
      <c r="H99" s="56">
        <v>0</v>
      </c>
      <c r="I99" s="57">
        <f t="shared" si="13"/>
        <v>1999123</v>
      </c>
      <c r="J99" s="11">
        <f t="shared" si="12"/>
        <v>0.67467534513884342</v>
      </c>
      <c r="K99" s="12">
        <f t="shared" si="12"/>
        <v>0.16214710150400952</v>
      </c>
      <c r="L99" s="11">
        <f t="shared" si="12"/>
        <v>4.1376643658244137E-2</v>
      </c>
      <c r="M99" s="11">
        <f t="shared" si="12"/>
        <v>0.12180090969890296</v>
      </c>
      <c r="N99" s="11">
        <f t="shared" si="12"/>
        <v>0</v>
      </c>
      <c r="O99" s="11">
        <f t="shared" si="12"/>
        <v>0</v>
      </c>
    </row>
    <row r="100" spans="1:15">
      <c r="A100" s="61">
        <v>369001</v>
      </c>
      <c r="B100" s="62" t="s">
        <v>111</v>
      </c>
      <c r="C100" s="56">
        <v>4962230</v>
      </c>
      <c r="D100" s="56">
        <v>258040</v>
      </c>
      <c r="E100" s="56">
        <v>1762301</v>
      </c>
      <c r="F100" s="56">
        <v>515442</v>
      </c>
      <c r="G100" s="56">
        <v>0</v>
      </c>
      <c r="H100" s="56">
        <v>0</v>
      </c>
      <c r="I100" s="57">
        <f t="shared" si="13"/>
        <v>7498013</v>
      </c>
      <c r="J100" s="11">
        <f t="shared" si="12"/>
        <v>0.66180600113656773</v>
      </c>
      <c r="K100" s="12">
        <f t="shared" si="12"/>
        <v>3.4414450868516765E-2</v>
      </c>
      <c r="L100" s="11">
        <f t="shared" si="12"/>
        <v>0.23503573546751652</v>
      </c>
      <c r="M100" s="11">
        <f t="shared" si="12"/>
        <v>6.8743812527398931E-2</v>
      </c>
      <c r="N100" s="11">
        <f t="shared" si="12"/>
        <v>0</v>
      </c>
      <c r="O100" s="11">
        <f t="shared" si="12"/>
        <v>0</v>
      </c>
    </row>
    <row r="101" spans="1:15">
      <c r="A101" s="61">
        <v>369002</v>
      </c>
      <c r="B101" s="62" t="s">
        <v>112</v>
      </c>
      <c r="C101" s="56">
        <v>4995050</v>
      </c>
      <c r="D101" s="56">
        <v>282401</v>
      </c>
      <c r="E101" s="56">
        <v>1831899</v>
      </c>
      <c r="F101" s="56">
        <v>528241</v>
      </c>
      <c r="G101" s="56">
        <v>0</v>
      </c>
      <c r="H101" s="56">
        <v>0</v>
      </c>
      <c r="I101" s="57">
        <f t="shared" si="13"/>
        <v>7637591</v>
      </c>
      <c r="J101" s="11">
        <f t="shared" si="12"/>
        <v>0.6540085741695254</v>
      </c>
      <c r="K101" s="12">
        <f t="shared" si="12"/>
        <v>3.69751404598649E-2</v>
      </c>
      <c r="L101" s="11">
        <f t="shared" si="12"/>
        <v>0.23985298505772304</v>
      </c>
      <c r="M101" s="11">
        <f t="shared" si="12"/>
        <v>6.9163300312886616E-2</v>
      </c>
      <c r="N101" s="11">
        <f t="shared" si="12"/>
        <v>0</v>
      </c>
      <c r="O101" s="11">
        <f t="shared" si="12"/>
        <v>0</v>
      </c>
    </row>
    <row r="102" spans="1:15">
      <c r="A102" s="58">
        <v>371001</v>
      </c>
      <c r="B102" s="14" t="s">
        <v>113</v>
      </c>
      <c r="C102" s="40">
        <v>3785086</v>
      </c>
      <c r="D102" s="40">
        <v>642758</v>
      </c>
      <c r="E102" s="40">
        <v>680289</v>
      </c>
      <c r="F102" s="40">
        <v>239140</v>
      </c>
      <c r="G102" s="40">
        <v>0</v>
      </c>
      <c r="H102" s="40">
        <v>0</v>
      </c>
      <c r="I102" s="41">
        <f t="shared" si="13"/>
        <v>5347273</v>
      </c>
      <c r="J102" s="42">
        <f t="shared" si="12"/>
        <v>0.70785351711049727</v>
      </c>
      <c r="K102" s="43">
        <f t="shared" si="12"/>
        <v>0.12020295204677225</v>
      </c>
      <c r="L102" s="42">
        <f t="shared" si="12"/>
        <v>0.12722166981188354</v>
      </c>
      <c r="M102" s="42">
        <f t="shared" si="12"/>
        <v>4.4721861030846938E-2</v>
      </c>
      <c r="N102" s="42">
        <f t="shared" si="12"/>
        <v>0</v>
      </c>
      <c r="O102" s="42">
        <f t="shared" si="12"/>
        <v>0</v>
      </c>
    </row>
    <row r="103" spans="1:15">
      <c r="A103" s="8">
        <v>372001</v>
      </c>
      <c r="B103" s="8" t="s">
        <v>114</v>
      </c>
      <c r="C103" s="56">
        <v>4005453</v>
      </c>
      <c r="D103" s="56">
        <v>562453</v>
      </c>
      <c r="E103" s="56">
        <v>222851</v>
      </c>
      <c r="F103" s="56">
        <v>4818</v>
      </c>
      <c r="G103" s="56">
        <v>0</v>
      </c>
      <c r="H103" s="56">
        <v>0</v>
      </c>
      <c r="I103" s="57">
        <f t="shared" si="13"/>
        <v>4795575</v>
      </c>
      <c r="J103" s="11">
        <f t="shared" si="12"/>
        <v>0.8352393612861857</v>
      </c>
      <c r="K103" s="12">
        <f t="shared" si="12"/>
        <v>0.1172858312089791</v>
      </c>
      <c r="L103" s="11">
        <f t="shared" si="12"/>
        <v>4.647013131897635E-2</v>
      </c>
      <c r="M103" s="11">
        <f t="shared" si="12"/>
        <v>1.0046761858588387E-3</v>
      </c>
      <c r="N103" s="11">
        <f t="shared" si="12"/>
        <v>0</v>
      </c>
      <c r="O103" s="11">
        <f t="shared" si="12"/>
        <v>0</v>
      </c>
    </row>
    <row r="104" spans="1:15">
      <c r="A104" s="13">
        <v>373001</v>
      </c>
      <c r="B104" s="8" t="s">
        <v>115</v>
      </c>
      <c r="C104" s="56">
        <v>1816431</v>
      </c>
      <c r="D104" s="56">
        <v>330484</v>
      </c>
      <c r="E104" s="56">
        <v>377131</v>
      </c>
      <c r="F104" s="56">
        <v>278283</v>
      </c>
      <c r="G104" s="56">
        <v>0</v>
      </c>
      <c r="H104" s="56">
        <v>0</v>
      </c>
      <c r="I104" s="57">
        <f t="shared" si="13"/>
        <v>2802329</v>
      </c>
      <c r="J104" s="11">
        <f t="shared" si="12"/>
        <v>0.64818620511724356</v>
      </c>
      <c r="K104" s="12">
        <f t="shared" si="12"/>
        <v>0.11793190592539277</v>
      </c>
      <c r="L104" s="11">
        <f t="shared" si="12"/>
        <v>0.13457770304628758</v>
      </c>
      <c r="M104" s="11">
        <f t="shared" si="12"/>
        <v>9.9304185911076107E-2</v>
      </c>
      <c r="N104" s="11">
        <f t="shared" si="12"/>
        <v>0</v>
      </c>
      <c r="O104" s="11">
        <f t="shared" si="12"/>
        <v>0</v>
      </c>
    </row>
    <row r="105" spans="1:15">
      <c r="A105" s="13">
        <v>374001</v>
      </c>
      <c r="B105" s="8" t="s">
        <v>116</v>
      </c>
      <c r="C105" s="56">
        <v>2597942</v>
      </c>
      <c r="D105" s="56">
        <v>316506</v>
      </c>
      <c r="E105" s="56">
        <v>520072</v>
      </c>
      <c r="F105" s="56">
        <v>302056</v>
      </c>
      <c r="G105" s="56">
        <v>0</v>
      </c>
      <c r="H105" s="56">
        <v>0</v>
      </c>
      <c r="I105" s="57">
        <f t="shared" si="13"/>
        <v>3736576</v>
      </c>
      <c r="J105" s="11">
        <f t="shared" si="12"/>
        <v>0.69527342679501236</v>
      </c>
      <c r="K105" s="12">
        <f t="shared" si="12"/>
        <v>8.4704820670046588E-2</v>
      </c>
      <c r="L105" s="11">
        <f t="shared" si="12"/>
        <v>0.13918410865990682</v>
      </c>
      <c r="M105" s="11">
        <f t="shared" si="12"/>
        <v>8.0837643875034254E-2</v>
      </c>
      <c r="N105" s="11">
        <f t="shared" si="12"/>
        <v>0</v>
      </c>
      <c r="O105" s="11">
        <f t="shared" si="12"/>
        <v>0</v>
      </c>
    </row>
    <row r="106" spans="1:15">
      <c r="A106" s="13">
        <v>375001</v>
      </c>
      <c r="B106" s="8" t="s">
        <v>117</v>
      </c>
      <c r="C106" s="56">
        <v>1486296</v>
      </c>
      <c r="D106" s="56">
        <v>340821</v>
      </c>
      <c r="E106" s="56">
        <v>368898</v>
      </c>
      <c r="F106" s="56">
        <v>1559</v>
      </c>
      <c r="G106" s="56">
        <v>0</v>
      </c>
      <c r="H106" s="56">
        <v>0</v>
      </c>
      <c r="I106" s="57">
        <f t="shared" si="13"/>
        <v>2197574</v>
      </c>
      <c r="J106" s="11">
        <f t="shared" si="12"/>
        <v>0.67633490385306705</v>
      </c>
      <c r="K106" s="12">
        <f t="shared" si="12"/>
        <v>0.15508965795918589</v>
      </c>
      <c r="L106" s="11">
        <f t="shared" si="12"/>
        <v>0.16786601952880767</v>
      </c>
      <c r="M106" s="11">
        <f t="shared" si="12"/>
        <v>7.0941865893935769E-4</v>
      </c>
      <c r="N106" s="11">
        <f t="shared" si="12"/>
        <v>0</v>
      </c>
      <c r="O106" s="11">
        <f t="shared" si="12"/>
        <v>0</v>
      </c>
    </row>
    <row r="107" spans="1:15">
      <c r="A107" s="58">
        <v>376001</v>
      </c>
      <c r="B107" s="14" t="s">
        <v>118</v>
      </c>
      <c r="C107" s="40">
        <v>1510331</v>
      </c>
      <c r="D107" s="40">
        <v>307463</v>
      </c>
      <c r="E107" s="40">
        <v>307477</v>
      </c>
      <c r="F107" s="40">
        <v>121990</v>
      </c>
      <c r="G107" s="40">
        <v>0</v>
      </c>
      <c r="H107" s="40">
        <v>0</v>
      </c>
      <c r="I107" s="41">
        <f t="shared" si="13"/>
        <v>2247261</v>
      </c>
      <c r="J107" s="42">
        <f t="shared" si="12"/>
        <v>0.67207636318166875</v>
      </c>
      <c r="K107" s="43">
        <f t="shared" si="12"/>
        <v>0.1368167738415787</v>
      </c>
      <c r="L107" s="42">
        <f t="shared" si="12"/>
        <v>0.1368230036475514</v>
      </c>
      <c r="M107" s="42">
        <f t="shared" si="12"/>
        <v>5.4283859329201191E-2</v>
      </c>
      <c r="N107" s="42">
        <f t="shared" si="12"/>
        <v>0</v>
      </c>
      <c r="O107" s="42">
        <f t="shared" si="12"/>
        <v>0</v>
      </c>
    </row>
    <row r="108" spans="1:15">
      <c r="A108" s="8">
        <v>377001</v>
      </c>
      <c r="B108" s="8" t="s">
        <v>119</v>
      </c>
      <c r="C108" s="56">
        <v>3210982</v>
      </c>
      <c r="D108" s="56">
        <v>151476</v>
      </c>
      <c r="E108" s="56">
        <v>589000</v>
      </c>
      <c r="F108" s="56">
        <v>148263</v>
      </c>
      <c r="G108" s="56">
        <v>0</v>
      </c>
      <c r="H108" s="56">
        <v>0</v>
      </c>
      <c r="I108" s="57">
        <f t="shared" si="13"/>
        <v>4099721</v>
      </c>
      <c r="J108" s="11">
        <f t="shared" si="12"/>
        <v>0.78321963860467581</v>
      </c>
      <c r="K108" s="12">
        <f t="shared" si="12"/>
        <v>3.694788011184176E-2</v>
      </c>
      <c r="L108" s="11">
        <f t="shared" si="12"/>
        <v>0.14366831303886288</v>
      </c>
      <c r="M108" s="11">
        <f t="shared" si="12"/>
        <v>3.6164168244619571E-2</v>
      </c>
      <c r="N108" s="11">
        <f t="shared" si="12"/>
        <v>0</v>
      </c>
      <c r="O108" s="11">
        <f t="shared" si="12"/>
        <v>0</v>
      </c>
    </row>
    <row r="109" spans="1:15">
      <c r="A109" s="13">
        <v>377002</v>
      </c>
      <c r="B109" s="8" t="s">
        <v>120</v>
      </c>
      <c r="C109" s="56">
        <v>3304277</v>
      </c>
      <c r="D109" s="56">
        <v>140345</v>
      </c>
      <c r="E109" s="56">
        <v>240235</v>
      </c>
      <c r="F109" s="56">
        <v>117296</v>
      </c>
      <c r="G109" s="56">
        <v>0</v>
      </c>
      <c r="H109" s="56">
        <v>0</v>
      </c>
      <c r="I109" s="57">
        <f t="shared" si="13"/>
        <v>3802153</v>
      </c>
      <c r="J109" s="11">
        <f t="shared" ref="J109:O124" si="14">C109/$I109</f>
        <v>0.86905419113854698</v>
      </c>
      <c r="K109" s="12">
        <f t="shared" si="14"/>
        <v>3.6911981185396799E-2</v>
      </c>
      <c r="L109" s="11">
        <f t="shared" si="14"/>
        <v>6.3183938152935978E-2</v>
      </c>
      <c r="M109" s="11">
        <f t="shared" si="14"/>
        <v>3.0849889523120191E-2</v>
      </c>
      <c r="N109" s="11">
        <f t="shared" si="14"/>
        <v>0</v>
      </c>
      <c r="O109" s="11">
        <f t="shared" si="14"/>
        <v>0</v>
      </c>
    </row>
    <row r="110" spans="1:15" s="60" customFormat="1">
      <c r="A110" s="13">
        <v>377003</v>
      </c>
      <c r="B110" s="8" t="s">
        <v>121</v>
      </c>
      <c r="C110" s="56">
        <v>3097183</v>
      </c>
      <c r="D110" s="56">
        <v>206510</v>
      </c>
      <c r="E110" s="56">
        <v>509865</v>
      </c>
      <c r="F110" s="56">
        <v>145537</v>
      </c>
      <c r="G110" s="56">
        <v>0</v>
      </c>
      <c r="H110" s="56">
        <v>0</v>
      </c>
      <c r="I110" s="57">
        <f t="shared" si="13"/>
        <v>3959095</v>
      </c>
      <c r="J110" s="11">
        <f t="shared" si="14"/>
        <v>0.78229570141661164</v>
      </c>
      <c r="K110" s="12">
        <f t="shared" si="14"/>
        <v>5.2160910511114281E-2</v>
      </c>
      <c r="L110" s="11">
        <f t="shared" si="14"/>
        <v>0.12878321939736229</v>
      </c>
      <c r="M110" s="11">
        <f t="shared" si="14"/>
        <v>3.6760168674911817E-2</v>
      </c>
      <c r="N110" s="11">
        <f t="shared" si="14"/>
        <v>0</v>
      </c>
      <c r="O110" s="11">
        <f t="shared" si="14"/>
        <v>0</v>
      </c>
    </row>
    <row r="111" spans="1:15" s="60" customFormat="1">
      <c r="A111" s="13">
        <v>377004</v>
      </c>
      <c r="B111" s="8" t="s">
        <v>122</v>
      </c>
      <c r="C111" s="56">
        <v>3767085</v>
      </c>
      <c r="D111" s="56">
        <v>155522</v>
      </c>
      <c r="E111" s="56">
        <v>836688</v>
      </c>
      <c r="F111" s="56">
        <v>239896</v>
      </c>
      <c r="G111" s="56">
        <v>0</v>
      </c>
      <c r="H111" s="56">
        <v>0</v>
      </c>
      <c r="I111" s="57">
        <f t="shared" si="13"/>
        <v>4999191</v>
      </c>
      <c r="J111" s="11">
        <f t="shared" si="14"/>
        <v>0.7535389225976763</v>
      </c>
      <c r="K111" s="12">
        <f t="shared" si="14"/>
        <v>3.1109433506341325E-2</v>
      </c>
      <c r="L111" s="11">
        <f t="shared" si="14"/>
        <v>0.1673646796051601</v>
      </c>
      <c r="M111" s="11">
        <f t="shared" si="14"/>
        <v>4.7986964290822255E-2</v>
      </c>
      <c r="N111" s="11">
        <f t="shared" si="14"/>
        <v>0</v>
      </c>
      <c r="O111" s="11">
        <f t="shared" si="14"/>
        <v>0</v>
      </c>
    </row>
    <row r="112" spans="1:15" s="65" customFormat="1">
      <c r="A112" s="58">
        <v>377005</v>
      </c>
      <c r="B112" s="14" t="s">
        <v>123</v>
      </c>
      <c r="C112" s="40">
        <v>4397285</v>
      </c>
      <c r="D112" s="40">
        <v>133702</v>
      </c>
      <c r="E112" s="40">
        <v>500947</v>
      </c>
      <c r="F112" s="40">
        <v>260569</v>
      </c>
      <c r="G112" s="40">
        <v>0</v>
      </c>
      <c r="H112" s="40">
        <v>0</v>
      </c>
      <c r="I112" s="41">
        <f t="shared" si="13"/>
        <v>5292503</v>
      </c>
      <c r="J112" s="42">
        <f t="shared" si="14"/>
        <v>0.83085167830797635</v>
      </c>
      <c r="K112" s="43">
        <f t="shared" si="14"/>
        <v>2.5262527012266219E-2</v>
      </c>
      <c r="L112" s="42">
        <f t="shared" si="14"/>
        <v>9.4652190088508212E-2</v>
      </c>
      <c r="M112" s="42">
        <f t="shared" si="14"/>
        <v>4.9233604591249168E-2</v>
      </c>
      <c r="N112" s="42">
        <f t="shared" si="14"/>
        <v>0</v>
      </c>
      <c r="O112" s="42">
        <f t="shared" si="14"/>
        <v>0</v>
      </c>
    </row>
    <row r="113" spans="1:15" s="60" customFormat="1">
      <c r="A113" s="13">
        <v>379001</v>
      </c>
      <c r="B113" s="8" t="s">
        <v>124</v>
      </c>
      <c r="C113" s="56">
        <v>1417557</v>
      </c>
      <c r="D113" s="56">
        <v>390052</v>
      </c>
      <c r="E113" s="56">
        <v>145384</v>
      </c>
      <c r="F113" s="56">
        <v>109599</v>
      </c>
      <c r="G113" s="56">
        <v>0</v>
      </c>
      <c r="H113" s="56">
        <v>0</v>
      </c>
      <c r="I113" s="57">
        <f t="shared" si="13"/>
        <v>2062592</v>
      </c>
      <c r="J113" s="11">
        <f t="shared" si="14"/>
        <v>0.68726970724214964</v>
      </c>
      <c r="K113" s="12">
        <f t="shared" si="14"/>
        <v>0.18910768586322452</v>
      </c>
      <c r="L113" s="11">
        <f t="shared" si="14"/>
        <v>7.0486068015390341E-2</v>
      </c>
      <c r="M113" s="11">
        <f t="shared" si="14"/>
        <v>5.3136538879235445E-2</v>
      </c>
      <c r="N113" s="11">
        <f t="shared" si="14"/>
        <v>0</v>
      </c>
      <c r="O113" s="11">
        <f t="shared" si="14"/>
        <v>0</v>
      </c>
    </row>
    <row r="114" spans="1:15" s="60" customFormat="1">
      <c r="A114" s="13">
        <v>380001</v>
      </c>
      <c r="B114" s="8" t="s">
        <v>125</v>
      </c>
      <c r="C114" s="56">
        <v>2886685</v>
      </c>
      <c r="D114" s="56">
        <v>394154</v>
      </c>
      <c r="E114" s="56">
        <v>621989</v>
      </c>
      <c r="F114" s="56">
        <v>192356</v>
      </c>
      <c r="G114" s="56">
        <v>0</v>
      </c>
      <c r="H114" s="56">
        <v>0</v>
      </c>
      <c r="I114" s="57">
        <f t="shared" si="13"/>
        <v>4095184</v>
      </c>
      <c r="J114" s="11">
        <f t="shared" si="14"/>
        <v>0.70489750887872193</v>
      </c>
      <c r="K114" s="12">
        <f t="shared" si="14"/>
        <v>9.6248178348030275E-2</v>
      </c>
      <c r="L114" s="11">
        <f t="shared" si="14"/>
        <v>0.15188304115272966</v>
      </c>
      <c r="M114" s="11">
        <f t="shared" si="14"/>
        <v>4.6971271620518153E-2</v>
      </c>
      <c r="N114" s="11">
        <f t="shared" si="14"/>
        <v>0</v>
      </c>
      <c r="O114" s="11">
        <f t="shared" si="14"/>
        <v>0</v>
      </c>
    </row>
    <row r="115" spans="1:15" s="60" customFormat="1">
      <c r="A115" s="13">
        <v>381001</v>
      </c>
      <c r="B115" s="66" t="s">
        <v>126</v>
      </c>
      <c r="C115" s="56">
        <v>1712491</v>
      </c>
      <c r="D115" s="56">
        <v>321001</v>
      </c>
      <c r="E115" s="56">
        <v>405108</v>
      </c>
      <c r="F115" s="56">
        <v>169061</v>
      </c>
      <c r="G115" s="56">
        <v>0</v>
      </c>
      <c r="H115" s="56">
        <v>0</v>
      </c>
      <c r="I115" s="57">
        <f t="shared" si="13"/>
        <v>2607661</v>
      </c>
      <c r="J115" s="11">
        <f t="shared" si="14"/>
        <v>0.65671534758544148</v>
      </c>
      <c r="K115" s="12">
        <f t="shared" si="14"/>
        <v>0.12309920653029668</v>
      </c>
      <c r="L115" s="11">
        <f t="shared" si="14"/>
        <v>0.15535301559520198</v>
      </c>
      <c r="M115" s="11">
        <f t="shared" si="14"/>
        <v>6.4832430289059814E-2</v>
      </c>
      <c r="N115" s="11">
        <f t="shared" si="14"/>
        <v>0</v>
      </c>
      <c r="O115" s="11">
        <f t="shared" si="14"/>
        <v>0</v>
      </c>
    </row>
    <row r="116" spans="1:15" s="60" customFormat="1">
      <c r="A116" s="8">
        <v>382001</v>
      </c>
      <c r="B116" s="8" t="s">
        <v>127</v>
      </c>
      <c r="C116" s="56">
        <v>3163661</v>
      </c>
      <c r="D116" s="56">
        <v>137624</v>
      </c>
      <c r="E116" s="56">
        <v>435566</v>
      </c>
      <c r="F116" s="56">
        <v>377782</v>
      </c>
      <c r="G116" s="56">
        <v>0</v>
      </c>
      <c r="H116" s="56">
        <v>0</v>
      </c>
      <c r="I116" s="57">
        <f t="shared" si="13"/>
        <v>4114633</v>
      </c>
      <c r="J116" s="11">
        <f t="shared" si="14"/>
        <v>0.76888048095662476</v>
      </c>
      <c r="K116" s="12">
        <f t="shared" si="14"/>
        <v>3.3447454487435455E-2</v>
      </c>
      <c r="L116" s="11">
        <f t="shared" si="14"/>
        <v>0.10585780068356036</v>
      </c>
      <c r="M116" s="11">
        <f t="shared" si="14"/>
        <v>9.1814263872379384E-2</v>
      </c>
      <c r="N116" s="11">
        <f t="shared" si="14"/>
        <v>0</v>
      </c>
      <c r="O116" s="11">
        <f t="shared" si="14"/>
        <v>0</v>
      </c>
    </row>
    <row r="117" spans="1:15" s="65" customFormat="1">
      <c r="A117" s="58">
        <v>383001</v>
      </c>
      <c r="B117" s="59" t="s">
        <v>128</v>
      </c>
      <c r="C117" s="40">
        <v>2220465</v>
      </c>
      <c r="D117" s="40">
        <v>335742</v>
      </c>
      <c r="E117" s="40">
        <v>213080</v>
      </c>
      <c r="F117" s="40">
        <v>5037</v>
      </c>
      <c r="G117" s="40">
        <v>0</v>
      </c>
      <c r="H117" s="40">
        <v>0</v>
      </c>
      <c r="I117" s="41">
        <f t="shared" si="13"/>
        <v>2774324</v>
      </c>
      <c r="J117" s="42">
        <f t="shared" si="14"/>
        <v>0.80036253876620034</v>
      </c>
      <c r="K117" s="43">
        <f t="shared" si="14"/>
        <v>0.12101758842874877</v>
      </c>
      <c r="L117" s="42">
        <f t="shared" si="14"/>
        <v>7.6804295388714514E-2</v>
      </c>
      <c r="M117" s="42">
        <f t="shared" si="14"/>
        <v>1.815577416336376E-3</v>
      </c>
      <c r="N117" s="42">
        <f t="shared" si="14"/>
        <v>0</v>
      </c>
      <c r="O117" s="42">
        <f t="shared" si="14"/>
        <v>0</v>
      </c>
    </row>
    <row r="118" spans="1:15" s="60" customFormat="1">
      <c r="A118" s="13">
        <v>384001</v>
      </c>
      <c r="B118" s="8" t="s">
        <v>129</v>
      </c>
      <c r="C118" s="56">
        <v>4161191</v>
      </c>
      <c r="D118" s="56">
        <v>372770</v>
      </c>
      <c r="E118" s="56">
        <v>389949</v>
      </c>
      <c r="F118" s="56">
        <v>240211</v>
      </c>
      <c r="G118" s="56">
        <v>0</v>
      </c>
      <c r="H118" s="56">
        <v>0</v>
      </c>
      <c r="I118" s="57">
        <f t="shared" si="13"/>
        <v>5164121</v>
      </c>
      <c r="J118" s="11">
        <f t="shared" si="14"/>
        <v>0.80578882640433869</v>
      </c>
      <c r="K118" s="12">
        <f t="shared" si="14"/>
        <v>7.2184598308211598E-2</v>
      </c>
      <c r="L118" s="11">
        <f t="shared" si="14"/>
        <v>7.5511205101507106E-2</v>
      </c>
      <c r="M118" s="11">
        <f t="shared" si="14"/>
        <v>4.6515370185942581E-2</v>
      </c>
      <c r="N118" s="11">
        <f t="shared" si="14"/>
        <v>0</v>
      </c>
      <c r="O118" s="11">
        <f t="shared" si="14"/>
        <v>0</v>
      </c>
    </row>
    <row r="119" spans="1:15" s="60" customFormat="1">
      <c r="A119" s="13">
        <v>385001</v>
      </c>
      <c r="B119" s="8" t="s">
        <v>130</v>
      </c>
      <c r="C119" s="56">
        <v>5045570</v>
      </c>
      <c r="D119" s="56">
        <v>567995</v>
      </c>
      <c r="E119" s="56">
        <v>549222</v>
      </c>
      <c r="F119" s="56">
        <v>17473</v>
      </c>
      <c r="G119" s="56">
        <v>0</v>
      </c>
      <c r="H119" s="56">
        <v>0</v>
      </c>
      <c r="I119" s="57">
        <f t="shared" si="13"/>
        <v>6180260</v>
      </c>
      <c r="J119" s="11">
        <f t="shared" si="14"/>
        <v>0.81640092811629283</v>
      </c>
      <c r="K119" s="12">
        <f t="shared" si="14"/>
        <v>9.1904709510603116E-2</v>
      </c>
      <c r="L119" s="11">
        <f t="shared" si="14"/>
        <v>8.8867135039626163E-2</v>
      </c>
      <c r="M119" s="11">
        <f t="shared" si="14"/>
        <v>2.8272273334778797E-3</v>
      </c>
      <c r="N119" s="11">
        <f t="shared" si="14"/>
        <v>0</v>
      </c>
      <c r="O119" s="11">
        <f t="shared" si="14"/>
        <v>0</v>
      </c>
    </row>
    <row r="120" spans="1:15" s="60" customFormat="1">
      <c r="A120" s="8">
        <v>387001</v>
      </c>
      <c r="B120" s="8" t="s">
        <v>131</v>
      </c>
      <c r="C120" s="56">
        <v>4809224</v>
      </c>
      <c r="D120" s="56">
        <v>656431</v>
      </c>
      <c r="E120" s="56">
        <v>472925</v>
      </c>
      <c r="F120" s="56">
        <v>113286</v>
      </c>
      <c r="G120" s="56">
        <v>0</v>
      </c>
      <c r="H120" s="56">
        <v>0</v>
      </c>
      <c r="I120" s="57">
        <f t="shared" si="13"/>
        <v>6051866</v>
      </c>
      <c r="J120" s="11">
        <f t="shared" si="14"/>
        <v>0.79466795860979078</v>
      </c>
      <c r="K120" s="12">
        <f t="shared" si="14"/>
        <v>0.10846753711995606</v>
      </c>
      <c r="L120" s="11">
        <f t="shared" si="14"/>
        <v>7.8145319146193923E-2</v>
      </c>
      <c r="M120" s="11">
        <f t="shared" si="14"/>
        <v>1.8719185124059259E-2</v>
      </c>
      <c r="N120" s="11">
        <f t="shared" si="14"/>
        <v>0</v>
      </c>
      <c r="O120" s="11">
        <f t="shared" si="14"/>
        <v>0</v>
      </c>
    </row>
    <row r="121" spans="1:15" s="60" customFormat="1">
      <c r="A121" s="13">
        <v>388001</v>
      </c>
      <c r="B121" s="8" t="s">
        <v>132</v>
      </c>
      <c r="C121" s="56">
        <v>4327547</v>
      </c>
      <c r="D121" s="56">
        <v>371225</v>
      </c>
      <c r="E121" s="56">
        <v>614920</v>
      </c>
      <c r="F121" s="56">
        <v>296493</v>
      </c>
      <c r="G121" s="56">
        <v>0</v>
      </c>
      <c r="H121" s="56">
        <v>0</v>
      </c>
      <c r="I121" s="57">
        <f t="shared" si="13"/>
        <v>5610185</v>
      </c>
      <c r="J121" s="11">
        <f t="shared" si="14"/>
        <v>0.77137331478373705</v>
      </c>
      <c r="K121" s="12">
        <f t="shared" si="14"/>
        <v>6.6169832189134581E-2</v>
      </c>
      <c r="L121" s="11">
        <f t="shared" si="14"/>
        <v>0.10960779368238302</v>
      </c>
      <c r="M121" s="11">
        <f t="shared" si="14"/>
        <v>5.2849059344745312E-2</v>
      </c>
      <c r="N121" s="11">
        <f t="shared" si="14"/>
        <v>0</v>
      </c>
      <c r="O121" s="11">
        <f t="shared" si="14"/>
        <v>0</v>
      </c>
    </row>
    <row r="122" spans="1:15" s="65" customFormat="1">
      <c r="A122" s="58">
        <v>389001</v>
      </c>
      <c r="B122" s="59" t="s">
        <v>133</v>
      </c>
      <c r="C122" s="40">
        <v>4441049</v>
      </c>
      <c r="D122" s="40">
        <f>205191</f>
        <v>205191</v>
      </c>
      <c r="E122" s="40">
        <v>554049</v>
      </c>
      <c r="F122" s="40">
        <f>332925-'[1]Hurricane Data'!I12</f>
        <v>288275</v>
      </c>
      <c r="G122" s="40">
        <v>0</v>
      </c>
      <c r="H122" s="40">
        <v>0</v>
      </c>
      <c r="I122" s="41">
        <f t="shared" si="13"/>
        <v>5488564</v>
      </c>
      <c r="J122" s="42">
        <f t="shared" si="14"/>
        <v>0.80914588952593069</v>
      </c>
      <c r="K122" s="43">
        <f t="shared" si="14"/>
        <v>3.7385188548407194E-2</v>
      </c>
      <c r="L122" s="42">
        <f t="shared" si="14"/>
        <v>0.10094607624143583</v>
      </c>
      <c r="M122" s="42">
        <f t="shared" si="14"/>
        <v>5.2522845684226327E-2</v>
      </c>
      <c r="N122" s="42">
        <f t="shared" si="14"/>
        <v>0</v>
      </c>
      <c r="O122" s="42">
        <f t="shared" si="14"/>
        <v>0</v>
      </c>
    </row>
    <row r="123" spans="1:15" s="60" customFormat="1">
      <c r="A123" s="13">
        <v>389002</v>
      </c>
      <c r="B123" s="8" t="s">
        <v>134</v>
      </c>
      <c r="C123" s="56">
        <v>3876977</v>
      </c>
      <c r="D123" s="56">
        <v>378718</v>
      </c>
      <c r="E123" s="56">
        <v>273627</v>
      </c>
      <c r="F123" s="56">
        <v>7812</v>
      </c>
      <c r="G123" s="56">
        <v>0</v>
      </c>
      <c r="H123" s="56">
        <v>0</v>
      </c>
      <c r="I123" s="57">
        <f t="shared" si="13"/>
        <v>4537134</v>
      </c>
      <c r="J123" s="11">
        <f t="shared" si="14"/>
        <v>0.85449911772497789</v>
      </c>
      <c r="K123" s="12">
        <f t="shared" si="14"/>
        <v>8.3470754886234344E-2</v>
      </c>
      <c r="L123" s="11">
        <f t="shared" si="14"/>
        <v>6.0308335614509073E-2</v>
      </c>
      <c r="M123" s="11">
        <f t="shared" si="14"/>
        <v>1.7217917742786526E-3</v>
      </c>
      <c r="N123" s="11">
        <f t="shared" si="14"/>
        <v>0</v>
      </c>
      <c r="O123" s="11">
        <f t="shared" si="14"/>
        <v>0</v>
      </c>
    </row>
    <row r="124" spans="1:15" s="60" customFormat="1">
      <c r="A124" s="13">
        <v>390001</v>
      </c>
      <c r="B124" s="66" t="s">
        <v>135</v>
      </c>
      <c r="C124" s="56">
        <v>4710872</v>
      </c>
      <c r="D124" s="56">
        <v>539056</v>
      </c>
      <c r="E124" s="56">
        <v>1033105</v>
      </c>
      <c r="F124" s="56">
        <v>7524</v>
      </c>
      <c r="G124" s="56">
        <v>0</v>
      </c>
      <c r="H124" s="56">
        <v>0</v>
      </c>
      <c r="I124" s="57">
        <f t="shared" si="13"/>
        <v>6290557</v>
      </c>
      <c r="J124" s="11">
        <f t="shared" si="14"/>
        <v>0.74887994815085535</v>
      </c>
      <c r="K124" s="12">
        <f t="shared" si="14"/>
        <v>8.5692888562968278E-2</v>
      </c>
      <c r="L124" s="11">
        <f t="shared" si="14"/>
        <v>0.16423108478311221</v>
      </c>
      <c r="M124" s="11">
        <f t="shared" si="14"/>
        <v>1.1960785030641961E-3</v>
      </c>
      <c r="N124" s="11">
        <f t="shared" si="14"/>
        <v>0</v>
      </c>
      <c r="O124" s="11">
        <f t="shared" si="14"/>
        <v>0</v>
      </c>
    </row>
    <row r="125" spans="1:15" s="60" customFormat="1">
      <c r="A125" s="8">
        <v>391001</v>
      </c>
      <c r="B125" s="8" t="s">
        <v>136</v>
      </c>
      <c r="C125" s="56">
        <v>4995643</v>
      </c>
      <c r="D125" s="56">
        <v>747832</v>
      </c>
      <c r="E125" s="56">
        <v>768382</v>
      </c>
      <c r="F125" s="56">
        <v>519431</v>
      </c>
      <c r="G125" s="56">
        <v>0</v>
      </c>
      <c r="H125" s="56">
        <v>0</v>
      </c>
      <c r="I125" s="57">
        <f t="shared" si="13"/>
        <v>7031288</v>
      </c>
      <c r="J125" s="11">
        <f t="shared" ref="J125:O147" si="15">C125/$I125</f>
        <v>0.71048760909807707</v>
      </c>
      <c r="K125" s="12">
        <f t="shared" si="15"/>
        <v>0.10635775408431571</v>
      </c>
      <c r="L125" s="11">
        <f t="shared" si="15"/>
        <v>0.1092804049556781</v>
      </c>
      <c r="M125" s="11">
        <f t="shared" si="15"/>
        <v>7.3874231861929138E-2</v>
      </c>
      <c r="N125" s="11">
        <f t="shared" si="15"/>
        <v>0</v>
      </c>
      <c r="O125" s="11">
        <f t="shared" si="15"/>
        <v>0</v>
      </c>
    </row>
    <row r="126" spans="1:15" s="60" customFormat="1">
      <c r="A126" s="13">
        <v>392001</v>
      </c>
      <c r="B126" s="8" t="s">
        <v>137</v>
      </c>
      <c r="C126" s="56">
        <v>3197493</v>
      </c>
      <c r="D126" s="56">
        <v>247045</v>
      </c>
      <c r="E126" s="56">
        <v>637097</v>
      </c>
      <c r="F126" s="56">
        <v>40444</v>
      </c>
      <c r="G126" s="56">
        <v>0</v>
      </c>
      <c r="H126" s="56">
        <v>0</v>
      </c>
      <c r="I126" s="57">
        <f t="shared" si="13"/>
        <v>4122079</v>
      </c>
      <c r="J126" s="11">
        <f t="shared" si="15"/>
        <v>0.7756991071738315</v>
      </c>
      <c r="K126" s="12">
        <f t="shared" si="15"/>
        <v>5.9932136186618454E-2</v>
      </c>
      <c r="L126" s="11">
        <f t="shared" si="15"/>
        <v>0.15455720280955315</v>
      </c>
      <c r="M126" s="11">
        <f t="shared" si="15"/>
        <v>9.8115538299969503E-3</v>
      </c>
      <c r="N126" s="11">
        <f t="shared" si="15"/>
        <v>0</v>
      </c>
      <c r="O126" s="11">
        <f t="shared" si="15"/>
        <v>0</v>
      </c>
    </row>
    <row r="127" spans="1:15" s="65" customFormat="1">
      <c r="A127" s="58">
        <v>393001</v>
      </c>
      <c r="B127" s="59" t="s">
        <v>138</v>
      </c>
      <c r="C127" s="40">
        <v>6584387</v>
      </c>
      <c r="D127" s="40">
        <v>556327</v>
      </c>
      <c r="E127" s="40">
        <v>757635</v>
      </c>
      <c r="F127" s="40">
        <v>470172</v>
      </c>
      <c r="G127" s="40">
        <v>0</v>
      </c>
      <c r="H127" s="40">
        <v>0</v>
      </c>
      <c r="I127" s="41">
        <f t="shared" si="13"/>
        <v>8368521</v>
      </c>
      <c r="J127" s="42">
        <f t="shared" si="15"/>
        <v>0.78680414376686159</v>
      </c>
      <c r="K127" s="43">
        <f t="shared" si="15"/>
        <v>6.6478533064564221E-2</v>
      </c>
      <c r="L127" s="42">
        <f t="shared" si="15"/>
        <v>9.0533918717536827E-2</v>
      </c>
      <c r="M127" s="42">
        <f t="shared" si="15"/>
        <v>5.6183404451037408E-2</v>
      </c>
      <c r="N127" s="42">
        <f t="shared" si="15"/>
        <v>0</v>
      </c>
      <c r="O127" s="42">
        <f t="shared" si="15"/>
        <v>0</v>
      </c>
    </row>
    <row r="128" spans="1:15" s="60" customFormat="1">
      <c r="A128" s="13">
        <v>393002</v>
      </c>
      <c r="B128" s="8" t="s">
        <v>139</v>
      </c>
      <c r="C128" s="56">
        <v>2991018</v>
      </c>
      <c r="D128" s="56">
        <v>456634</v>
      </c>
      <c r="E128" s="56">
        <v>826132</v>
      </c>
      <c r="F128" s="56">
        <v>304201</v>
      </c>
      <c r="G128" s="56">
        <v>0</v>
      </c>
      <c r="H128" s="56">
        <v>0</v>
      </c>
      <c r="I128" s="57">
        <f t="shared" si="13"/>
        <v>4577985</v>
      </c>
      <c r="J128" s="11">
        <f t="shared" si="15"/>
        <v>0.65334814334254043</v>
      </c>
      <c r="K128" s="12">
        <f t="shared" si="15"/>
        <v>9.9745630446582939E-2</v>
      </c>
      <c r="L128" s="11">
        <f t="shared" si="15"/>
        <v>0.18045755938475116</v>
      </c>
      <c r="M128" s="11">
        <f t="shared" si="15"/>
        <v>6.6448666826125463E-2</v>
      </c>
      <c r="N128" s="11">
        <f t="shared" si="15"/>
        <v>0</v>
      </c>
      <c r="O128" s="11">
        <f t="shared" si="15"/>
        <v>0</v>
      </c>
    </row>
    <row r="129" spans="1:15" s="60" customFormat="1">
      <c r="A129" s="13">
        <v>394003</v>
      </c>
      <c r="B129" s="8" t="s">
        <v>140</v>
      </c>
      <c r="C129" s="56">
        <v>3907259</v>
      </c>
      <c r="D129" s="56">
        <v>344809</v>
      </c>
      <c r="E129" s="56">
        <v>588781</v>
      </c>
      <c r="F129" s="56">
        <v>66660</v>
      </c>
      <c r="G129" s="56">
        <v>0</v>
      </c>
      <c r="H129" s="56">
        <v>0</v>
      </c>
      <c r="I129" s="57">
        <f t="shared" si="13"/>
        <v>4907509</v>
      </c>
      <c r="J129" s="11">
        <f t="shared" si="15"/>
        <v>0.79617969116307274</v>
      </c>
      <c r="K129" s="12">
        <f t="shared" si="15"/>
        <v>7.0261511491879078E-2</v>
      </c>
      <c r="L129" s="11">
        <f t="shared" si="15"/>
        <v>0.11997553137447124</v>
      </c>
      <c r="M129" s="11">
        <f t="shared" si="15"/>
        <v>1.3583265970576927E-2</v>
      </c>
      <c r="N129" s="11">
        <f t="shared" si="15"/>
        <v>0</v>
      </c>
      <c r="O129" s="11">
        <f t="shared" si="15"/>
        <v>0</v>
      </c>
    </row>
    <row r="130" spans="1:15" s="60" customFormat="1">
      <c r="A130" s="13">
        <v>395001</v>
      </c>
      <c r="B130" s="66" t="s">
        <v>141</v>
      </c>
      <c r="C130" s="56">
        <v>4673242</v>
      </c>
      <c r="D130" s="56">
        <v>963520</v>
      </c>
      <c r="E130" s="56">
        <v>670668</v>
      </c>
      <c r="F130" s="56">
        <v>418030</v>
      </c>
      <c r="G130" s="56">
        <v>0</v>
      </c>
      <c r="H130" s="56">
        <v>0</v>
      </c>
      <c r="I130" s="57">
        <f t="shared" si="13"/>
        <v>6725460</v>
      </c>
      <c r="J130" s="11">
        <f t="shared" si="15"/>
        <v>0.69485834426195381</v>
      </c>
      <c r="K130" s="12">
        <f t="shared" si="15"/>
        <v>0.1432645499341309</v>
      </c>
      <c r="L130" s="11">
        <f t="shared" si="15"/>
        <v>9.9720762594677534E-2</v>
      </c>
      <c r="M130" s="11">
        <f t="shared" si="15"/>
        <v>6.2156343209237734E-2</v>
      </c>
      <c r="N130" s="11">
        <f t="shared" si="15"/>
        <v>0</v>
      </c>
      <c r="O130" s="11">
        <f t="shared" si="15"/>
        <v>0</v>
      </c>
    </row>
    <row r="131" spans="1:15" s="60" customFormat="1">
      <c r="A131" s="8">
        <v>395002</v>
      </c>
      <c r="B131" s="8" t="s">
        <v>142</v>
      </c>
      <c r="C131" s="56">
        <v>4480026</v>
      </c>
      <c r="D131" s="56">
        <v>894516</v>
      </c>
      <c r="E131" s="56">
        <v>612297</v>
      </c>
      <c r="F131" s="56">
        <v>382399</v>
      </c>
      <c r="G131" s="56">
        <v>0</v>
      </c>
      <c r="H131" s="56">
        <v>0</v>
      </c>
      <c r="I131" s="57">
        <f t="shared" si="13"/>
        <v>6369238</v>
      </c>
      <c r="J131" s="11">
        <f t="shared" si="15"/>
        <v>0.70338492610890035</v>
      </c>
      <c r="K131" s="12">
        <f t="shared" si="15"/>
        <v>0.14044317389301514</v>
      </c>
      <c r="L131" s="11">
        <f t="shared" si="15"/>
        <v>9.61334778194817E-2</v>
      </c>
      <c r="M131" s="11">
        <f t="shared" si="15"/>
        <v>6.0038422178602842E-2</v>
      </c>
      <c r="N131" s="11">
        <f t="shared" si="15"/>
        <v>0</v>
      </c>
      <c r="O131" s="11">
        <f t="shared" si="15"/>
        <v>0</v>
      </c>
    </row>
    <row r="132" spans="1:15" s="65" customFormat="1">
      <c r="A132" s="58">
        <v>395003</v>
      </c>
      <c r="B132" s="59" t="s">
        <v>143</v>
      </c>
      <c r="C132" s="40">
        <v>3480409</v>
      </c>
      <c r="D132" s="40">
        <v>761460</v>
      </c>
      <c r="E132" s="40">
        <v>425237</v>
      </c>
      <c r="F132" s="40">
        <v>363721</v>
      </c>
      <c r="G132" s="40">
        <v>0</v>
      </c>
      <c r="H132" s="40">
        <v>0</v>
      </c>
      <c r="I132" s="41">
        <f t="shared" si="13"/>
        <v>5030827</v>
      </c>
      <c r="J132" s="42">
        <f t="shared" si="15"/>
        <v>0.69181647470684249</v>
      </c>
      <c r="K132" s="43">
        <f t="shared" si="15"/>
        <v>0.15135881237816368</v>
      </c>
      <c r="L132" s="42">
        <f t="shared" si="15"/>
        <v>8.4526261785587142E-2</v>
      </c>
      <c r="M132" s="42">
        <f t="shared" si="15"/>
        <v>7.2298451129406749E-2</v>
      </c>
      <c r="N132" s="42">
        <f t="shared" si="15"/>
        <v>0</v>
      </c>
      <c r="O132" s="42">
        <f t="shared" si="15"/>
        <v>0</v>
      </c>
    </row>
    <row r="133" spans="1:15" s="60" customFormat="1">
      <c r="A133" s="13">
        <v>395004</v>
      </c>
      <c r="B133" s="8" t="s">
        <v>144</v>
      </c>
      <c r="C133" s="56">
        <v>4211927</v>
      </c>
      <c r="D133" s="56">
        <v>829956</v>
      </c>
      <c r="E133" s="56">
        <v>634164</v>
      </c>
      <c r="F133" s="56">
        <v>375527</v>
      </c>
      <c r="G133" s="56">
        <v>0</v>
      </c>
      <c r="H133" s="56">
        <v>0</v>
      </c>
      <c r="I133" s="57">
        <f t="shared" si="13"/>
        <v>6051574</v>
      </c>
      <c r="J133" s="11">
        <f t="shared" si="15"/>
        <v>0.69600520459635795</v>
      </c>
      <c r="K133" s="12">
        <f t="shared" si="15"/>
        <v>0.13714712899486978</v>
      </c>
      <c r="L133" s="11">
        <f t="shared" si="15"/>
        <v>0.10479323230617357</v>
      </c>
      <c r="M133" s="11">
        <f t="shared" si="15"/>
        <v>6.2054434102598761E-2</v>
      </c>
      <c r="N133" s="11">
        <f t="shared" si="15"/>
        <v>0</v>
      </c>
      <c r="O133" s="11">
        <f t="shared" si="15"/>
        <v>0</v>
      </c>
    </row>
    <row r="134" spans="1:15" s="60" customFormat="1">
      <c r="A134" s="13">
        <v>395005</v>
      </c>
      <c r="B134" s="8" t="s">
        <v>145</v>
      </c>
      <c r="C134" s="56">
        <v>7370889</v>
      </c>
      <c r="D134" s="56">
        <v>893865</v>
      </c>
      <c r="E134" s="56">
        <v>1052294</v>
      </c>
      <c r="F134" s="56">
        <v>292439</v>
      </c>
      <c r="G134" s="56">
        <v>0</v>
      </c>
      <c r="H134" s="56">
        <v>0</v>
      </c>
      <c r="I134" s="57">
        <f t="shared" si="13"/>
        <v>9609487</v>
      </c>
      <c r="J134" s="11">
        <f t="shared" si="15"/>
        <v>0.76704292331109869</v>
      </c>
      <c r="K134" s="12">
        <f t="shared" si="15"/>
        <v>9.3019013397905637E-2</v>
      </c>
      <c r="L134" s="11">
        <f t="shared" si="15"/>
        <v>0.10950574156560075</v>
      </c>
      <c r="M134" s="11">
        <f t="shared" si="15"/>
        <v>3.0432321725394916E-2</v>
      </c>
      <c r="N134" s="11">
        <f t="shared" si="15"/>
        <v>0</v>
      </c>
      <c r="O134" s="11">
        <f t="shared" si="15"/>
        <v>0</v>
      </c>
    </row>
    <row r="135" spans="1:15" s="60" customFormat="1">
      <c r="A135" s="13">
        <v>395006</v>
      </c>
      <c r="B135" s="66" t="s">
        <v>146</v>
      </c>
      <c r="C135" s="56">
        <v>3507073</v>
      </c>
      <c r="D135" s="56">
        <v>945974</v>
      </c>
      <c r="E135" s="56">
        <v>696385</v>
      </c>
      <c r="F135" s="56">
        <v>384922</v>
      </c>
      <c r="G135" s="56">
        <v>0</v>
      </c>
      <c r="H135" s="56">
        <v>0</v>
      </c>
      <c r="I135" s="57">
        <f t="shared" si="13"/>
        <v>5534354</v>
      </c>
      <c r="J135" s="11">
        <f t="shared" si="15"/>
        <v>0.63369148413708265</v>
      </c>
      <c r="K135" s="12">
        <f t="shared" si="15"/>
        <v>0.1709276276869893</v>
      </c>
      <c r="L135" s="11">
        <f t="shared" si="15"/>
        <v>0.12582950060657486</v>
      </c>
      <c r="M135" s="11">
        <f t="shared" si="15"/>
        <v>6.9551387569353168E-2</v>
      </c>
      <c r="N135" s="11">
        <f t="shared" si="15"/>
        <v>0</v>
      </c>
      <c r="O135" s="11">
        <f t="shared" si="15"/>
        <v>0</v>
      </c>
    </row>
    <row r="136" spans="1:15" s="60" customFormat="1">
      <c r="A136" s="8">
        <v>395007</v>
      </c>
      <c r="B136" s="8" t="s">
        <v>147</v>
      </c>
      <c r="C136" s="56">
        <v>2656747</v>
      </c>
      <c r="D136" s="56">
        <v>641861</v>
      </c>
      <c r="E136" s="56">
        <v>452428</v>
      </c>
      <c r="F136" s="56">
        <v>219035</v>
      </c>
      <c r="G136" s="56">
        <v>0</v>
      </c>
      <c r="H136" s="56">
        <v>0</v>
      </c>
      <c r="I136" s="57">
        <f t="shared" si="13"/>
        <v>3970071</v>
      </c>
      <c r="J136" s="11">
        <f t="shared" si="15"/>
        <v>0.66919382550085371</v>
      </c>
      <c r="K136" s="12">
        <f t="shared" si="15"/>
        <v>0.16167494233730328</v>
      </c>
      <c r="L136" s="11">
        <f t="shared" si="15"/>
        <v>0.1139596747765972</v>
      </c>
      <c r="M136" s="11">
        <f t="shared" si="15"/>
        <v>5.5171557385245755E-2</v>
      </c>
      <c r="N136" s="11">
        <f t="shared" si="15"/>
        <v>0</v>
      </c>
      <c r="O136" s="11">
        <f t="shared" si="15"/>
        <v>0</v>
      </c>
    </row>
    <row r="137" spans="1:15" s="65" customFormat="1">
      <c r="A137" s="58">
        <v>397001</v>
      </c>
      <c r="B137" s="59" t="s">
        <v>148</v>
      </c>
      <c r="C137" s="40">
        <v>3115253</v>
      </c>
      <c r="D137" s="40">
        <v>534625</v>
      </c>
      <c r="E137" s="40">
        <v>613889</v>
      </c>
      <c r="F137" s="40">
        <v>336614</v>
      </c>
      <c r="G137" s="40">
        <v>0</v>
      </c>
      <c r="H137" s="40">
        <v>0</v>
      </c>
      <c r="I137" s="41">
        <f t="shared" si="13"/>
        <v>4600381</v>
      </c>
      <c r="J137" s="42">
        <f t="shared" si="15"/>
        <v>0.6771728254681515</v>
      </c>
      <c r="K137" s="43">
        <f t="shared" si="15"/>
        <v>0.11621320060229794</v>
      </c>
      <c r="L137" s="42">
        <f t="shared" si="15"/>
        <v>0.13344307786681148</v>
      </c>
      <c r="M137" s="42">
        <f t="shared" si="15"/>
        <v>7.3170896062739146E-2</v>
      </c>
      <c r="N137" s="42">
        <f t="shared" si="15"/>
        <v>0</v>
      </c>
      <c r="O137" s="42">
        <f t="shared" si="15"/>
        <v>0</v>
      </c>
    </row>
    <row r="138" spans="1:15" s="60" customFormat="1">
      <c r="A138" s="13">
        <v>398001</v>
      </c>
      <c r="B138" s="8" t="s">
        <v>149</v>
      </c>
      <c r="C138" s="56">
        <v>3067343</v>
      </c>
      <c r="D138" s="56">
        <v>145584</v>
      </c>
      <c r="E138" s="56">
        <v>381775</v>
      </c>
      <c r="F138" s="56">
        <v>244409</v>
      </c>
      <c r="G138" s="56">
        <v>0</v>
      </c>
      <c r="H138" s="56">
        <v>0</v>
      </c>
      <c r="I138" s="57">
        <f t="shared" si="13"/>
        <v>3839111</v>
      </c>
      <c r="J138" s="11">
        <f t="shared" si="15"/>
        <v>0.79897220997256913</v>
      </c>
      <c r="K138" s="12">
        <f t="shared" si="15"/>
        <v>3.7921279171141443E-2</v>
      </c>
      <c r="L138" s="11">
        <f t="shared" si="15"/>
        <v>9.9443595144813476E-2</v>
      </c>
      <c r="M138" s="11">
        <f t="shared" si="15"/>
        <v>6.3662915711475906E-2</v>
      </c>
      <c r="N138" s="11">
        <f t="shared" si="15"/>
        <v>0</v>
      </c>
      <c r="O138" s="11">
        <f t="shared" si="15"/>
        <v>0</v>
      </c>
    </row>
    <row r="139" spans="1:15" s="60" customFormat="1">
      <c r="A139" s="13">
        <v>398002</v>
      </c>
      <c r="B139" s="8" t="s">
        <v>150</v>
      </c>
      <c r="C139" s="56">
        <v>4021079</v>
      </c>
      <c r="D139" s="56">
        <v>228516</v>
      </c>
      <c r="E139" s="56">
        <v>813685</v>
      </c>
      <c r="F139" s="56">
        <v>303086</v>
      </c>
      <c r="G139" s="56">
        <v>0</v>
      </c>
      <c r="H139" s="56">
        <v>0</v>
      </c>
      <c r="I139" s="57">
        <f t="shared" si="13"/>
        <v>5366366</v>
      </c>
      <c r="J139" s="11">
        <f t="shared" si="15"/>
        <v>0.74931135893451917</v>
      </c>
      <c r="K139" s="12">
        <f t="shared" si="15"/>
        <v>4.2583006824357492E-2</v>
      </c>
      <c r="L139" s="11">
        <f t="shared" si="15"/>
        <v>0.15162681785029197</v>
      </c>
      <c r="M139" s="11">
        <f t="shared" si="15"/>
        <v>5.6478816390831341E-2</v>
      </c>
      <c r="N139" s="11">
        <f t="shared" si="15"/>
        <v>0</v>
      </c>
      <c r="O139" s="11">
        <f t="shared" si="15"/>
        <v>0</v>
      </c>
    </row>
    <row r="140" spans="1:15" s="60" customFormat="1">
      <c r="A140" s="13">
        <v>398003</v>
      </c>
      <c r="B140" s="66" t="s">
        <v>151</v>
      </c>
      <c r="C140" s="56">
        <v>2993905</v>
      </c>
      <c r="D140" s="56">
        <v>133543</v>
      </c>
      <c r="E140" s="56">
        <v>468369</v>
      </c>
      <c r="F140" s="56">
        <v>250333</v>
      </c>
      <c r="G140" s="56">
        <v>0</v>
      </c>
      <c r="H140" s="56">
        <v>0</v>
      </c>
      <c r="I140" s="57">
        <f t="shared" si="13"/>
        <v>3846150</v>
      </c>
      <c r="J140" s="11">
        <f t="shared" si="15"/>
        <v>0.77841607841607841</v>
      </c>
      <c r="K140" s="12">
        <f t="shared" si="15"/>
        <v>3.472121472121472E-2</v>
      </c>
      <c r="L140" s="11">
        <f t="shared" si="15"/>
        <v>0.12177606177606178</v>
      </c>
      <c r="M140" s="11">
        <f t="shared" si="15"/>
        <v>6.5086645086645092E-2</v>
      </c>
      <c r="N140" s="11">
        <f t="shared" si="15"/>
        <v>0</v>
      </c>
      <c r="O140" s="11">
        <f t="shared" si="15"/>
        <v>0</v>
      </c>
    </row>
    <row r="141" spans="1:15" s="60" customFormat="1">
      <c r="A141" s="8">
        <v>398004</v>
      </c>
      <c r="B141" s="8" t="s">
        <v>152</v>
      </c>
      <c r="C141" s="56">
        <v>2325720</v>
      </c>
      <c r="D141" s="56">
        <v>106550</v>
      </c>
      <c r="E141" s="56">
        <v>559421</v>
      </c>
      <c r="F141" s="56">
        <v>214526</v>
      </c>
      <c r="G141" s="56">
        <v>0</v>
      </c>
      <c r="H141" s="56">
        <v>0</v>
      </c>
      <c r="I141" s="57">
        <f t="shared" si="13"/>
        <v>3206217</v>
      </c>
      <c r="J141" s="11">
        <f t="shared" si="15"/>
        <v>0.72537822611507585</v>
      </c>
      <c r="K141" s="12">
        <f t="shared" si="15"/>
        <v>3.3232310851074649E-2</v>
      </c>
      <c r="L141" s="11">
        <f t="shared" si="15"/>
        <v>0.17448008041876142</v>
      </c>
      <c r="M141" s="11">
        <f t="shared" si="15"/>
        <v>6.6909382615088123E-2</v>
      </c>
      <c r="N141" s="11">
        <f t="shared" si="15"/>
        <v>0</v>
      </c>
      <c r="O141" s="11">
        <f t="shared" si="15"/>
        <v>0</v>
      </c>
    </row>
    <row r="142" spans="1:15" s="65" customFormat="1">
      <c r="A142" s="63">
        <v>398004</v>
      </c>
      <c r="B142" s="64" t="s">
        <v>153</v>
      </c>
      <c r="C142" s="40">
        <v>1604653</v>
      </c>
      <c r="D142" s="40">
        <v>48650</v>
      </c>
      <c r="E142" s="40">
        <v>387133</v>
      </c>
      <c r="F142" s="40">
        <v>64977</v>
      </c>
      <c r="G142" s="40">
        <v>0</v>
      </c>
      <c r="H142" s="40">
        <v>0</v>
      </c>
      <c r="I142" s="41">
        <f t="shared" si="13"/>
        <v>2105413</v>
      </c>
      <c r="J142" s="42">
        <f t="shared" si="15"/>
        <v>0.76215592855178538</v>
      </c>
      <c r="K142" s="43">
        <f t="shared" si="15"/>
        <v>2.3107105351776586E-2</v>
      </c>
      <c r="L142" s="42">
        <f t="shared" si="15"/>
        <v>0.18387508769063363</v>
      </c>
      <c r="M142" s="42">
        <f t="shared" si="15"/>
        <v>3.0861878405804465E-2</v>
      </c>
      <c r="N142" s="42">
        <f t="shared" si="15"/>
        <v>0</v>
      </c>
      <c r="O142" s="42">
        <f t="shared" si="15"/>
        <v>0</v>
      </c>
    </row>
    <row r="143" spans="1:15" s="60" customFormat="1">
      <c r="A143" s="61">
        <v>398005</v>
      </c>
      <c r="B143" s="62" t="s">
        <v>154</v>
      </c>
      <c r="C143" s="56">
        <v>1175000</v>
      </c>
      <c r="D143" s="56">
        <v>39044</v>
      </c>
      <c r="E143" s="56">
        <v>333895</v>
      </c>
      <c r="F143" s="56">
        <v>66814</v>
      </c>
      <c r="G143" s="56">
        <v>0</v>
      </c>
      <c r="H143" s="56">
        <v>0</v>
      </c>
      <c r="I143" s="57">
        <f t="shared" si="13"/>
        <v>1614753</v>
      </c>
      <c r="J143" s="11">
        <f t="shared" si="15"/>
        <v>0.72766546957955802</v>
      </c>
      <c r="K143" s="12">
        <f t="shared" si="15"/>
        <v>2.4179549441927031E-2</v>
      </c>
      <c r="L143" s="11">
        <f t="shared" si="15"/>
        <v>0.20677775486405661</v>
      </c>
      <c r="M143" s="11">
        <f t="shared" si="15"/>
        <v>4.1377226114458369E-2</v>
      </c>
      <c r="N143" s="11">
        <f t="shared" si="15"/>
        <v>0</v>
      </c>
      <c r="O143" s="11">
        <f t="shared" si="15"/>
        <v>0</v>
      </c>
    </row>
    <row r="144" spans="1:15" s="60" customFormat="1">
      <c r="A144" s="13">
        <v>399001</v>
      </c>
      <c r="B144" s="8" t="s">
        <v>155</v>
      </c>
      <c r="C144" s="56">
        <v>4105982</v>
      </c>
      <c r="D144" s="56">
        <v>528525</v>
      </c>
      <c r="E144" s="56">
        <v>734961</v>
      </c>
      <c r="F144" s="56">
        <v>129937</v>
      </c>
      <c r="G144" s="56">
        <v>0</v>
      </c>
      <c r="H144" s="56">
        <v>0</v>
      </c>
      <c r="I144" s="57">
        <f t="shared" si="13"/>
        <v>5499405</v>
      </c>
      <c r="J144" s="11">
        <f t="shared" si="15"/>
        <v>0.74662295284671709</v>
      </c>
      <c r="K144" s="12">
        <f t="shared" si="15"/>
        <v>9.6105851451202443E-2</v>
      </c>
      <c r="L144" s="11">
        <f t="shared" si="15"/>
        <v>0.13364373054903211</v>
      </c>
      <c r="M144" s="11">
        <f t="shared" si="15"/>
        <v>2.3627465153048376E-2</v>
      </c>
      <c r="N144" s="11">
        <f t="shared" si="15"/>
        <v>0</v>
      </c>
      <c r="O144" s="11">
        <f t="shared" si="15"/>
        <v>0</v>
      </c>
    </row>
    <row r="145" spans="1:15" s="60" customFormat="1">
      <c r="A145" s="13">
        <v>399002</v>
      </c>
      <c r="B145" s="8" t="s">
        <v>156</v>
      </c>
      <c r="C145" s="56">
        <v>2964603</v>
      </c>
      <c r="D145" s="56">
        <v>332034</v>
      </c>
      <c r="E145" s="56">
        <v>601263</v>
      </c>
      <c r="F145" s="56">
        <v>9786</v>
      </c>
      <c r="G145" s="56">
        <v>0</v>
      </c>
      <c r="H145" s="56">
        <v>0</v>
      </c>
      <c r="I145" s="57">
        <f t="shared" si="13"/>
        <v>3907686</v>
      </c>
      <c r="J145" s="11">
        <f t="shared" si="15"/>
        <v>0.75865947263930622</v>
      </c>
      <c r="K145" s="12">
        <f t="shared" si="15"/>
        <v>8.4969467864101672E-2</v>
      </c>
      <c r="L145" s="11">
        <f t="shared" si="15"/>
        <v>0.15386676411564287</v>
      </c>
      <c r="M145" s="11">
        <f t="shared" si="15"/>
        <v>2.5042953809492371E-3</v>
      </c>
      <c r="N145" s="11">
        <f t="shared" si="15"/>
        <v>0</v>
      </c>
      <c r="O145" s="11">
        <f t="shared" si="15"/>
        <v>0</v>
      </c>
    </row>
    <row r="146" spans="1:15">
      <c r="A146" s="63">
        <v>399004</v>
      </c>
      <c r="B146" s="64" t="s">
        <v>157</v>
      </c>
      <c r="C146" s="40">
        <v>3272863</v>
      </c>
      <c r="D146" s="40">
        <v>594461</v>
      </c>
      <c r="E146" s="40">
        <v>923372</v>
      </c>
      <c r="F146" s="40">
        <v>82565</v>
      </c>
      <c r="G146" s="40">
        <v>0</v>
      </c>
      <c r="H146" s="40">
        <v>0</v>
      </c>
      <c r="I146" s="41">
        <f>SUM(C146:H146)</f>
        <v>4873261</v>
      </c>
      <c r="J146" s="42">
        <f t="shared" si="15"/>
        <v>0.67159608319767805</v>
      </c>
      <c r="K146" s="43">
        <f t="shared" si="15"/>
        <v>0.12198423191370214</v>
      </c>
      <c r="L146" s="42">
        <f t="shared" si="15"/>
        <v>0.18947723095479599</v>
      </c>
      <c r="M146" s="42">
        <f t="shared" si="15"/>
        <v>1.6942453933823778E-2</v>
      </c>
      <c r="N146" s="42">
        <f t="shared" si="15"/>
        <v>0</v>
      </c>
      <c r="O146" s="42">
        <f t="shared" si="15"/>
        <v>0</v>
      </c>
    </row>
    <row r="147" spans="1:15">
      <c r="A147" s="44"/>
      <c r="B147" s="45" t="s">
        <v>158</v>
      </c>
      <c r="C147" s="67">
        <f t="shared" ref="C147:I147" si="16">SUM(C93:C146)</f>
        <v>183621762</v>
      </c>
      <c r="D147" s="67">
        <f t="shared" si="16"/>
        <v>21620876</v>
      </c>
      <c r="E147" s="67">
        <f t="shared" si="16"/>
        <v>31131241</v>
      </c>
      <c r="F147" s="67">
        <f t="shared" si="16"/>
        <v>11847155</v>
      </c>
      <c r="G147" s="67">
        <f t="shared" si="16"/>
        <v>0</v>
      </c>
      <c r="H147" s="68">
        <f t="shared" si="16"/>
        <v>0</v>
      </c>
      <c r="I147" s="47">
        <f t="shared" si="16"/>
        <v>248221034</v>
      </c>
      <c r="J147" s="69">
        <f t="shared" si="15"/>
        <v>0.73975101562102108</v>
      </c>
      <c r="K147" s="70">
        <f t="shared" si="15"/>
        <v>8.7103319374618349E-2</v>
      </c>
      <c r="L147" s="69">
        <f t="shared" si="15"/>
        <v>0.12541741728462866</v>
      </c>
      <c r="M147" s="69">
        <f t="shared" si="15"/>
        <v>4.7728247719731921E-2</v>
      </c>
      <c r="N147" s="69">
        <f t="shared" si="15"/>
        <v>0</v>
      </c>
      <c r="O147" s="69">
        <f t="shared" si="15"/>
        <v>0</v>
      </c>
    </row>
    <row r="148" spans="1:15">
      <c r="A148" s="71"/>
      <c r="B148" s="72"/>
      <c r="C148" s="72"/>
      <c r="D148" s="72"/>
      <c r="E148" s="72"/>
      <c r="F148" s="72"/>
      <c r="G148" s="72"/>
      <c r="H148" s="72"/>
      <c r="I148" s="73"/>
      <c r="J148" s="71"/>
      <c r="K148" s="72"/>
      <c r="L148" s="72"/>
      <c r="M148" s="72"/>
      <c r="N148" s="72"/>
      <c r="O148" s="73"/>
    </row>
    <row r="149" spans="1:15" s="80" customFormat="1">
      <c r="A149" s="74" t="s">
        <v>159</v>
      </c>
      <c r="B149" s="75" t="s">
        <v>160</v>
      </c>
      <c r="C149" s="76">
        <v>4184929</v>
      </c>
      <c r="D149" s="76">
        <v>0</v>
      </c>
      <c r="E149" s="76">
        <v>893405</v>
      </c>
      <c r="F149" s="76">
        <v>5785</v>
      </c>
      <c r="G149" s="76">
        <v>0</v>
      </c>
      <c r="H149" s="76">
        <v>0</v>
      </c>
      <c r="I149" s="77">
        <f>SUM(C149:H149)</f>
        <v>5084119</v>
      </c>
      <c r="J149" s="78">
        <f t="shared" ref="J149:O150" si="17">C149/$I149</f>
        <v>0.82313749933862679</v>
      </c>
      <c r="K149" s="79">
        <f t="shared" si="17"/>
        <v>0</v>
      </c>
      <c r="L149" s="78">
        <f t="shared" si="17"/>
        <v>0.17572464373866936</v>
      </c>
      <c r="M149" s="78">
        <f t="shared" si="17"/>
        <v>1.1378569227038155E-3</v>
      </c>
      <c r="N149" s="78">
        <f t="shared" si="17"/>
        <v>0</v>
      </c>
      <c r="O149" s="78">
        <f t="shared" si="17"/>
        <v>0</v>
      </c>
    </row>
    <row r="150" spans="1:15">
      <c r="A150" s="44"/>
      <c r="B150" s="45" t="s">
        <v>161</v>
      </c>
      <c r="C150" s="67">
        <f t="shared" ref="C150:I150" si="18">SUM(C149)</f>
        <v>4184929</v>
      </c>
      <c r="D150" s="67">
        <f t="shared" si="18"/>
        <v>0</v>
      </c>
      <c r="E150" s="67">
        <f t="shared" si="18"/>
        <v>893405</v>
      </c>
      <c r="F150" s="67">
        <f t="shared" si="18"/>
        <v>5785</v>
      </c>
      <c r="G150" s="67">
        <f t="shared" si="18"/>
        <v>0</v>
      </c>
      <c r="H150" s="67">
        <f t="shared" si="18"/>
        <v>0</v>
      </c>
      <c r="I150" s="47">
        <f t="shared" si="18"/>
        <v>5084119</v>
      </c>
      <c r="J150" s="69">
        <f t="shared" si="17"/>
        <v>0.82313749933862679</v>
      </c>
      <c r="K150" s="70">
        <f t="shared" si="17"/>
        <v>0</v>
      </c>
      <c r="L150" s="69">
        <f t="shared" si="17"/>
        <v>0.17572464373866936</v>
      </c>
      <c r="M150" s="69">
        <f t="shared" si="17"/>
        <v>1.1378569227038155E-3</v>
      </c>
      <c r="N150" s="69">
        <f t="shared" si="17"/>
        <v>0</v>
      </c>
      <c r="O150" s="69">
        <f t="shared" si="17"/>
        <v>0</v>
      </c>
    </row>
    <row r="151" spans="1:15">
      <c r="A151" s="71"/>
      <c r="B151" s="72"/>
      <c r="C151" s="72"/>
      <c r="D151" s="72"/>
      <c r="E151" s="72"/>
      <c r="F151" s="72"/>
      <c r="G151" s="72"/>
      <c r="H151" s="72"/>
      <c r="I151" s="81"/>
      <c r="J151" s="26"/>
      <c r="K151" s="72"/>
      <c r="L151" s="72"/>
      <c r="M151" s="72"/>
      <c r="N151" s="72"/>
      <c r="O151" s="81"/>
    </row>
    <row r="152" spans="1:15" ht="13.5" thickBot="1">
      <c r="A152" s="82"/>
      <c r="B152" s="83" t="s">
        <v>162</v>
      </c>
      <c r="C152" s="84">
        <f t="shared" ref="C152:H152" si="19">C77+C91+C147+C73+C150</f>
        <v>5720678069.0834885</v>
      </c>
      <c r="D152" s="84">
        <f t="shared" si="19"/>
        <v>573886997</v>
      </c>
      <c r="E152" s="84">
        <f t="shared" si="19"/>
        <v>469670037</v>
      </c>
      <c r="F152" s="84">
        <f t="shared" si="19"/>
        <v>778543087</v>
      </c>
      <c r="G152" s="84">
        <f t="shared" si="19"/>
        <v>271576172</v>
      </c>
      <c r="H152" s="84">
        <f t="shared" si="19"/>
        <v>172011317</v>
      </c>
      <c r="I152" s="85">
        <f>I73+I77+I91+I147+I150</f>
        <v>7986365679.0834894</v>
      </c>
      <c r="J152" s="86">
        <f t="shared" ref="J152:O152" si="20">C152/$I152</f>
        <v>0.71630555110519178</v>
      </c>
      <c r="K152" s="87">
        <f t="shared" si="20"/>
        <v>7.1858342087067942E-2</v>
      </c>
      <c r="L152" s="86">
        <f t="shared" si="20"/>
        <v>5.8808982191997379E-2</v>
      </c>
      <c r="M152" s="86">
        <f t="shared" si="20"/>
        <v>9.748402693843905E-2</v>
      </c>
      <c r="N152" s="86">
        <f t="shared" si="20"/>
        <v>3.4004975844177214E-2</v>
      </c>
      <c r="O152" s="86">
        <f t="shared" si="20"/>
        <v>2.1538121833126467E-2</v>
      </c>
    </row>
    <row r="153" spans="1:15" s="88" customFormat="1" ht="9" customHeight="1" thickTop="1">
      <c r="B153" s="89"/>
      <c r="C153" s="90"/>
      <c r="D153" s="90"/>
      <c r="E153" s="90"/>
      <c r="F153" s="90"/>
      <c r="G153" s="90"/>
      <c r="H153" s="90"/>
      <c r="I153" s="90"/>
      <c r="J153" s="91"/>
      <c r="K153" s="91"/>
      <c r="L153" s="91"/>
      <c r="M153" s="91"/>
      <c r="N153" s="91"/>
      <c r="O153" s="91"/>
    </row>
    <row r="154" spans="1:15">
      <c r="C154" s="95" t="s">
        <v>163</v>
      </c>
      <c r="D154" s="95"/>
      <c r="E154" s="95"/>
      <c r="J154" s="95" t="s">
        <v>163</v>
      </c>
      <c r="K154" s="95"/>
      <c r="L154" s="95"/>
    </row>
    <row r="155" spans="1:15">
      <c r="C155" s="92"/>
      <c r="D155" s="92"/>
      <c r="E155" s="92"/>
      <c r="J155" s="92"/>
      <c r="K155" s="92"/>
      <c r="L155" s="92"/>
    </row>
    <row r="156" spans="1:15" ht="83.25" customHeight="1">
      <c r="C156" s="96" t="s">
        <v>164</v>
      </c>
      <c r="D156" s="96"/>
      <c r="E156" s="96"/>
      <c r="F156" s="96"/>
      <c r="G156" s="96"/>
      <c r="H156" s="97"/>
      <c r="J156" s="96" t="s">
        <v>164</v>
      </c>
      <c r="K156" s="96"/>
      <c r="L156" s="96"/>
      <c r="M156" s="96"/>
      <c r="N156" s="96"/>
      <c r="O156" s="97"/>
    </row>
    <row r="157" spans="1:15">
      <c r="C157" s="93"/>
      <c r="D157" s="93"/>
      <c r="E157" s="93"/>
      <c r="F157" s="93"/>
      <c r="G157" s="93"/>
      <c r="H157" s="93"/>
      <c r="I157" s="93"/>
    </row>
  </sheetData>
  <mergeCells count="6">
    <mergeCell ref="C1:I1"/>
    <mergeCell ref="J1:O1"/>
    <mergeCell ref="C154:E154"/>
    <mergeCell ref="J154:L154"/>
    <mergeCell ref="C156:H156"/>
    <mergeCell ref="J156:O156"/>
  </mergeCells>
  <conditionalFormatting sqref="A3:O72">
    <cfRule type="expression" dxfId="0" priority="1" stopIfTrue="1">
      <formula>MOD(ROW(),5) =2</formula>
    </cfRule>
  </conditionalFormatting>
  <printOptions horizontalCentered="1"/>
  <pageMargins left="0.25" right="0.25" top="0.98" bottom="0.5" header="0.8" footer="0.5"/>
  <pageSetup paperSize="5" scale="70" orientation="portrait" r:id="rId1"/>
  <headerFooter alignWithMargins="0"/>
  <rowBreaks count="1" manualBreakCount="1">
    <brk id="74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Revenue by Fund</vt:lpstr>
      <vt:lpstr>'Revenue by Fund'!Print_Area</vt:lpstr>
      <vt:lpstr>'Revenue by Fund'!Print_Titles</vt:lpstr>
    </vt:vector>
  </TitlesOfParts>
  <Company>LDOE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ldoe</cp:lastModifiedBy>
  <dcterms:created xsi:type="dcterms:W3CDTF">2012-07-03T18:34:31Z</dcterms:created>
  <dcterms:modified xsi:type="dcterms:W3CDTF">2012-07-03T18:56:24Z</dcterms:modified>
</cp:coreProperties>
</file>